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cy\Documents\Iacy - Documentos\Licitação\Limpeza e Conservação\"/>
    </mc:Choice>
  </mc:AlternateContent>
  <bookViews>
    <workbookView xWindow="0" yWindow="0" windowWidth="21000" windowHeight="11985" tabRatio="500"/>
  </bookViews>
  <sheets>
    <sheet name="INSERÇÃO-DE-DADOS" sheetId="1" r:id="rId1"/>
    <sheet name="DADOS-ESTATISTICOS" sheetId="2" r:id="rId2"/>
    <sheet name="ENCARGOS-SOCIAIS-E-TRABALHISTAS" sheetId="3" r:id="rId3"/>
    <sheet name="ENCARREGADOS" sheetId="4" r:id="rId4"/>
    <sheet name="SERVENTES" sheetId="5" r:id="rId5"/>
    <sheet name="SERVENTES-AREA-HOSP" sheetId="6" r:id="rId6"/>
    <sheet name="CUSTOS POR M²" sheetId="7" r:id="rId7"/>
    <sheet name="QUADRO-RESUMO" sheetId="8" r:id="rId8"/>
    <sheet name="LIMITES-SEGES-PORT-7-2015" sheetId="9" state="hidden" r:id="rId9"/>
    <sheet name="LIMITES-SEGES-PORT-213-2017" sheetId="10" state="hidden" r:id="rId10"/>
    <sheet name="QTDE-ESTIMADA-SERVENTES" sheetId="11" state="hidden" r:id="rId11"/>
  </sheets>
  <definedNames>
    <definedName name="ACORDO_COLETIVO">'INSERÇÃO-DE-DADOS'!$F$14</definedName>
    <definedName name="ADIC_INSALUB_ENC">'INSERÇÃO-DE-DADOS'!$D$19</definedName>
    <definedName name="ADIC_INSALUB_SERV">'INSERÇÃO-DE-DADOS'!$D$20</definedName>
    <definedName name="ADIC_INSALUB_SERV_HOSP">'INSERÇÃO-DE-DADOS'!$D$21</definedName>
    <definedName name="AL_1_A_SAL_BASE_ENC" localSheetId="3">ENCARREGADOS!$F$21</definedName>
    <definedName name="AL_1_A_SAL_BASE_SERV" localSheetId="4">SERVENTES!$F$21</definedName>
    <definedName name="AL_1_A_SAL_BASE_SERV_HOSP" localSheetId="5">'SERVENTES-AREA-HOSP'!$F$21</definedName>
    <definedName name="AL_1_C_OUTROS_REM_1_ENC" localSheetId="3">ENCARREGADOS!$F$23</definedName>
    <definedName name="AL_1_C_OUTROS_REM_1_SERV">SERVENTES!$F$23</definedName>
    <definedName name="AL_1_D_OUTROS_REM_2_ENC">ENCARREGADOS!$F$24</definedName>
    <definedName name="AL_1_D_OUTROS_REM_2_SERV">SERVENTES!$F$24</definedName>
    <definedName name="AL_1_E_OUTROS_REM_3_ENC" localSheetId="4">ENCARREGADOS!$F$25</definedName>
    <definedName name="AL_1_E_OUTROS_REM_3_SERV">SERVENTES!$F$25</definedName>
    <definedName name="AL_2_1_A_DEC_TERC_ENC" localSheetId="4">ENCARREGADOS!$F$30</definedName>
    <definedName name="AL_2_1_A_DEC_TERC_SERV" localSheetId="3">SERVENTES!$F$30</definedName>
    <definedName name="AL_2_1_B_ADIC_FERIAS_ENC" localSheetId="3">ENCARREGADOS!$F$31</definedName>
    <definedName name="AL_2_1_B_ADIC_FERIAS_SERV" localSheetId="4">SERVENTES!$F$31</definedName>
    <definedName name="AL_2_2_FGTS_ENC" localSheetId="3">ENCARREGADOS!$F$42</definedName>
    <definedName name="AL_2_2_FGTS_SERV" localSheetId="4">SERVENTES!$F$42</definedName>
    <definedName name="AL_2_2_FGTS_SERV_HOSP" localSheetId="5">'SERVENTES-AREA-HOSP'!$F$42</definedName>
    <definedName name="AL_2_3_A_TRANSP_ENC" localSheetId="3">ENCARREGADOS!$F$46</definedName>
    <definedName name="AL_2_3_A_TRANSP_SERV" localSheetId="4">SERVENTES!$F$46</definedName>
    <definedName name="AL_2_3_B_AUX_ALIMENT_ENC" localSheetId="3">ENCARREGADOS!$F$47</definedName>
    <definedName name="AL_2_3_B_AUX_ALIMENT_SERV" localSheetId="4">SERVENTES!$F$47</definedName>
    <definedName name="AL_2_3_C_OUTROS_BENEF_1_ENC" localSheetId="3">ENCARREGADOS!$F$48</definedName>
    <definedName name="AL_2_3_C_OUTROS_BENEF_1_SERV" localSheetId="4">SERVENTES!$F$48</definedName>
    <definedName name="AL_2_A_ATE_2_G_GPS_ENC" localSheetId="3">ENCARREGADOS!$F$35:$F$41</definedName>
    <definedName name="AL_2_A_ATE_2_G_GPS_SERV" localSheetId="4">SERVENTES!$F$35:$F$41</definedName>
    <definedName name="AL_6_A_CUSTOS_INDIRETOS_ENC" localSheetId="3">ENCARREGADOS!$F$84</definedName>
    <definedName name="AL_6_A_CUSTOS_INDIRETOS_SERV" localSheetId="4">SERVENTES!$F$84</definedName>
    <definedName name="AL_6_A_CUSTOS_INDIRETOS_SERV_HOSP" localSheetId="5">'SERVENTES-AREA-HOSP'!$F$84</definedName>
    <definedName name="AL_6_B_LUCRO_ENC" localSheetId="3">ENCARREGADOS!$F$85</definedName>
    <definedName name="AL_6_B_LUCRO_SERV" localSheetId="4">SERVENTES!$F$85</definedName>
    <definedName name="AL_6_B_LUCRO_SERV_HOSP" localSheetId="5">'SERVENTES-AREA-HOSP'!$F$85</definedName>
    <definedName name="AL_6_C_1_PIS_ENC" localSheetId="3">ENCARREGADOS!$F$87</definedName>
    <definedName name="AL_6_C_1_PIS_SERV" localSheetId="4">SERVENTES!$F$87</definedName>
    <definedName name="AL_6_C_2_COFINS_ENC" localSheetId="3">ENCARREGADOS!$F$88</definedName>
    <definedName name="AL_6_C_2_COFINS_SERV" localSheetId="4">SERVENTES!$F$88</definedName>
    <definedName name="AL_6_C_3_ISS_ENC" localSheetId="3">ENCARREGADOS!$F$89</definedName>
    <definedName name="AL_6_C_3_ISS_SERV" localSheetId="4">SERVENTES!$F$89</definedName>
    <definedName name="AL_6_C_TRIBUTOS_ENC" localSheetId="3">ENCARREGADOS!$F$86</definedName>
    <definedName name="AL_6_C_TRIBUTOS_SERV" localSheetId="4">SERVENTES!$F$86</definedName>
    <definedName name="AL_6_C_TRIBUTOS_SERV_HOSP" localSheetId="5">'SERVENTES-AREA-HOSP'!$F$86</definedName>
    <definedName name="ALIMENTACAO_POR_DIA">'INSERÇÃO-DE-DADOS'!$F$42</definedName>
    <definedName name="AREA_ESQ_EXTERNA_ANEXOS">'INSERÇÃO-DE-DADOS'!$J$11</definedName>
    <definedName name="AREA_ESQ_EXTERNA_PTMS_PRMS">'INSERÇÃO-DE-DADOS'!$K$11</definedName>
    <definedName name="AREA_ESQ_EXTERNA_SEDE">'INSERÇÃO-DE-DADOS'!$I$11</definedName>
    <definedName name="AREA_ESQ_EXTERNA_TOTAL">'INSERÇÃO-DE-DADOS'!$L$11</definedName>
    <definedName name="AREA_EXTERNA_ANEXOS">'INSERÇÃO-DE-DADOS'!$J$10</definedName>
    <definedName name="AREA_EXTERNA_PTMS_PRMS">'INSERÇÃO-DE-DADOS'!$K$10</definedName>
    <definedName name="AREA_EXTERNA_SEDE">'INSERÇÃO-DE-DADOS'!$I$10</definedName>
    <definedName name="AREA_EXTERNA_TOTAL">'INSERÇÃO-DE-DADOS'!$L$10</definedName>
    <definedName name="AREA_FACHADA_ENVID_ANEXOS">'INSERÇÃO-DE-DADOS'!$J$12</definedName>
    <definedName name="AREA_FACHADA_ENVID_PTMS_PRMS">'INSERÇÃO-DE-DADOS'!$K$12</definedName>
    <definedName name="AREA_FACHADA_ENVID_SEDE">'INSERÇÃO-DE-DADOS'!$I$12</definedName>
    <definedName name="AREA_FACHADA_ENVID_TOTAL">'INSERÇÃO-DE-DADOS'!$L$12</definedName>
    <definedName name="AREA_INTERNA_ANEXOS">'INSERÇÃO-DE-DADOS'!$J$9</definedName>
    <definedName name="AREA_INTERNA_PTMS_PRMS">'INSERÇÃO-DE-DADOS'!$K$9</definedName>
    <definedName name="AREA_INTERNA_SEDE">'INSERÇÃO-DE-DADOS'!$I$9</definedName>
    <definedName name="AREA_INTERNA_TOTAL">'INSERÇÃO-DE-DADOS'!$L$9</definedName>
    <definedName name="AREA_MED_HOSP_ANEXOS">'INSERÇÃO-DE-DADOS'!$J$13</definedName>
    <definedName name="AREA_MED_HOSP_PTMS_PRMS">'INSERÇÃO-DE-DADOS'!$K$13</definedName>
    <definedName name="AREA_MED_HOSP_SEDE">'INSERÇÃO-DE-DADOS'!$I$13</definedName>
    <definedName name="AREA_MED_HOSP_TOTAL">'INSERÇÃO-DE-DADOS'!$L$13</definedName>
    <definedName name="CARGA_HORARIA_SEMANAL">'DADOS-ESTATISTICOS'!$F$11</definedName>
    <definedName name="CATEGORIA_PROFISSIONAL_ENC">'INSERÇÃO-DE-DADOS'!$C$19</definedName>
    <definedName name="CATEGORIA_PROFISSIONAL_SERV">'INSERÇÃO-DE-DADOS'!$C$20</definedName>
    <definedName name="CATEGORIA_PROFISSIONAL_SERV_HOSP">'INSERÇÃO-DE-DADOS'!$C$21</definedName>
    <definedName name="CBO">'INSERÇÃO-DE-DADOS'!$D$25</definedName>
    <definedName name="COEF_KI_ESQ_EXTERNA_ENC">'CUSTOS POR M²'!$F$29</definedName>
    <definedName name="COEF_KI_ESQ_EXTERNA_SERV">'CUSTOS POR M²'!$F$30</definedName>
    <definedName name="COEF_KI_FACHADA_ENVID_ENC">'CUSTOS POR M²'!$F$37</definedName>
    <definedName name="COEF_KI_FACHADA_ENVID_SERV">'CUSTOS POR M²'!$F$38</definedName>
    <definedName name="CUSTO_M2_AREA_EXTERNA">'CUSTOS POR M²'!$E$22</definedName>
    <definedName name="CUSTO_M2_AREA_EXTERNA_ENC">'CUSTOS POR M²'!$E$20</definedName>
    <definedName name="CUSTO_M2_AREA_EXTERNA_SERV">'CUSTOS POR M²'!$E$21</definedName>
    <definedName name="CUSTO_M2_AREA_HOSPITALAR_ENC">'CUSTOS POR M²'!$E$44</definedName>
    <definedName name="CUSTO_M2_AREA_HOSPITALAR_SERV">'CUSTOS POR M²'!$E$45</definedName>
    <definedName name="CUSTO_M2_AREA_INTERNA">'CUSTOS POR M²'!$E$14</definedName>
    <definedName name="CUSTO_M2_AREA_INTERNA_ENC">'CUSTOS POR M²'!$E$12</definedName>
    <definedName name="CUSTO_M2_AREA_INTERNA_SERV">'CUSTOS POR M²'!$E$13</definedName>
    <definedName name="CUSTO_M2_AREA_MED_HOSP">'CUSTOS POR M²'!$E$46</definedName>
    <definedName name="CUSTO_M2_ESQ_EXTERNA">'CUSTOS POR M²'!$H$31</definedName>
    <definedName name="CUSTO_M2_ESQ_EXTERNA_ENC">'CUSTOS POR M²'!$H$29</definedName>
    <definedName name="CUSTO_M2_ESQ_EXTERNA_SERV">'CUSTOS POR M²'!$H$30</definedName>
    <definedName name="CUSTO_M2_FACHADA_ENVID">'CUSTOS POR M²'!$H$39</definedName>
    <definedName name="CUSTO_M2_FACHADA_ENVID_ENC">'CUSTOS POR M²'!$H$37</definedName>
    <definedName name="CUSTO_M2_FACHADA_ENVID_SERV">'CUSTOS POR M²'!$H$38</definedName>
    <definedName name="DATA_APRESENTACAO_PROPOSTA">'INSERÇÃO-DE-DADOS'!$F$11</definedName>
    <definedName name="DATA_BASE_CATEGORIA">'INSERÇÃO-DE-DADOS'!$F$26</definedName>
    <definedName name="DATA_DO_ORCAMENTO_ESTIMATIVO">'INSERÇÃO-DE-DADOS'!$F$2</definedName>
    <definedName name="DATA_LICITACAO">'INSERÇÃO-DE-DADOS'!$D$8</definedName>
    <definedName name="DIAS_AUSENCIAS_LEGAIS">'DADOS-ESTATISTICOS'!$F$30</definedName>
    <definedName name="DIAS_LICENCA_MATERNIDADE">'DADOS-ESTATISTICOS'!$F$36</definedName>
    <definedName name="DIAS_LICENCA_PATERNIDADE">'DADOS-ESTATISTICOS'!$F$31</definedName>
    <definedName name="DIAS_NA_SEMANA">'DADOS-ESTATISTICOS'!$F$5</definedName>
    <definedName name="DIAS_NO_ANO">'DADOS-ESTATISTICOS'!$F$6</definedName>
    <definedName name="DIAS_NO_MES">'DADOS-ESTATISTICOS'!$F$25</definedName>
    <definedName name="DIAS_PAGOS_EMPRESA_ACID_TRAB">'DADOS-ESTATISTICOS'!$F$35</definedName>
    <definedName name="DIAS_TRABALHADOS_NO_MES">'INSERÇÃO-DE-DADOS'!$F$43</definedName>
    <definedName name="DIVISOR_DE_HORAS">'DADOS-ESTATISTICOS'!$F$4</definedName>
    <definedName name="ENCARREGADO_DE_LIMPEZA">'INSERÇÃO-DE-DADOS'!$C$19</definedName>
    <definedName name="EQUIPAMENTOS">'INSERÇÃO-DE-DADOS'!$F$62</definedName>
    <definedName name="FREQ_ESQ_EXTERNA">'INSERÇÃO-DE-DADOS'!$N$11</definedName>
    <definedName name="FREQ_FACHADA_ENVID">'INSERÇÃO-DE-DADOS'!$N$12</definedName>
    <definedName name="HORA_NORMAL">'DADOS-ESTATISTICOS'!$F$10</definedName>
    <definedName name="HORARIO_LICITACAO">'INSERÇÃO-DE-DADOS'!$F$8</definedName>
    <definedName name="JORNADA_MES_ESQ_EXTERNA_ENC">'CUSTOS POR M²'!$E$29</definedName>
    <definedName name="JORNADA_MES_ESQ_EXTERNA_SERV">'CUSTOS POR M²'!$E$30</definedName>
    <definedName name="JORNADA_MES_FACHADA_ENVID_ENC">'CUSTOS POR M²'!$E$37</definedName>
    <definedName name="JORNADA_MES_FACHADA_ENVID_SERV">'CUSTOS POR M²'!$E$38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ESES_NO_SEMESTRE">'DADOS-ESTATISTICOS'!$F$9</definedName>
    <definedName name="MOD_1_REMUNERACAO_ENC" localSheetId="3">ENCARREGADOS!$F$26</definedName>
    <definedName name="MOD_1_REMUNERACAO_SERV" localSheetId="4">SERVENTES!$F$26</definedName>
    <definedName name="MOD_1_REMUNERACAO_SERV_HOSP" localSheetId="5">'SERVENTES-AREA-HOSP'!$F$26</definedName>
    <definedName name="MOD_2_ENCARGOS_BENEFICIOS_ENC" localSheetId="3">ENCARREGADOS!$F$32+ENCARREGADOS!$F$43+ENCARREGADOS!$F$51</definedName>
    <definedName name="MOD_2_ENCARGOS_BENEFICIOS_SERV" localSheetId="4">SERVENTES!$F$32+SERVENTES!$F$43+SERVENTES!$F$51</definedName>
    <definedName name="MOD_2_ENCARGOS_BENEFICIOS_SERV_HOSP" localSheetId="5">'SERVENTES-AREA-HOSP'!$F$32+'SERVENTES-AREA-HOSP'!$F$43+'SERVENTES-AREA-HOSP'!$F$51</definedName>
    <definedName name="MOD_3_PROVISAO_RESCISAO_ENC" localSheetId="3">ENCARREGADOS!$F$60</definedName>
    <definedName name="MOD_3_PROVISAO_RESCISAO_SERV" localSheetId="4">SERVENTES!$F$60</definedName>
    <definedName name="MOD_3_PROVISAO_RESCISAO_SERV_HOSP" localSheetId="5">'SERVENTES-AREA-HOSP'!$F$60</definedName>
    <definedName name="MOD_4_CUSTO_REPOSICAO_ENC" localSheetId="3">ENCARREGADOS!$F$70+ENCARREGADOS!$F$74</definedName>
    <definedName name="MOD_4_CUSTO_REPOSICAO_SERV" localSheetId="4">SERVENTES!$F$70+SERVENTES!$F$74</definedName>
    <definedName name="MOD_4_CUSTO_REPOSICAO_SERV_HOSP" localSheetId="5">'SERVENTES-AREA-HOSP'!$F$70+'SERVENTES-AREA-HOSP'!$F$74</definedName>
    <definedName name="MOD_5_INSUMOS_ENC" localSheetId="3">ENCARREGADOS!$F$81</definedName>
    <definedName name="MOD_5_INSUMOS_SERV" localSheetId="4">SERVENTES!$F$81</definedName>
    <definedName name="MOD_5_INSUMOS_SERV_HOSP" localSheetId="5">'SERVENTES-AREA-HOSP'!$F$81</definedName>
    <definedName name="MOD_6_CUSTOS_IND_LUCRO_TRIB_ENC" localSheetId="3">ENCARREGADOS!$F$90</definedName>
    <definedName name="MOD_6_CUSTOS_IND_LUCRO_TRIB_SERV" localSheetId="4">SERVENTES!$F$90</definedName>
    <definedName name="MOD_6_CUSTOS_IND_LUCRO_TRIB_SERV_HOSP" localSheetId="5">'SERVENTES-AREA-HOSP'!$F$90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'INSERÇÃO-DE-DADOS'!$F$33</definedName>
    <definedName name="OUTROS_REMUNERACAO_1_DESCRICAO">'INSERÇÃO-DE-DADOS'!$C$33</definedName>
    <definedName name="OUTROS_REMUNERACAO_2">'INSERÇÃO-DE-DADOS'!$F$34</definedName>
    <definedName name="OUTROS_REMUNERACAO_2_DESCRICAO">'INSERÇÃO-DE-DADOS'!$C$34:$E$34</definedName>
    <definedName name="OUTROS_REMUNERACAO_3">'INSERÇÃO-DE-DADOS'!$F$35</definedName>
    <definedName name="OUTROS_REMUNERACAO_3_DESCRICAO">'INSERÇÃO-DE-DADOS'!$C$35:$E$35</definedName>
    <definedName name="PERC_ADIC_FERIAS">'ENCARGOS-SOCIAIS-E-TRABALHISTAS'!$E$6</definedName>
    <definedName name="PERC_ADIC_INSALUB">'INSERÇÃO-DE-DADOS'!$F$32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'DADOS-ESTATISTICOS'!$F$23</definedName>
    <definedName name="PERC_CUSTOS_INDIRETOS">'INSERÇÃO-DE-DADOS'!$F$67</definedName>
    <definedName name="PERC_DEC_TERC">'ENCARGOS-SOCIAIS-E-TRABALHISTAS'!$E$5</definedName>
    <definedName name="PERC_DESC_TRANSP_REMUNERACAO">'DADOS-ESTATISTICOS'!$F$16</definedName>
    <definedName name="PERC_EMPREG_AFAST_TRAB">'DADOS-ESTATISTICOS'!$F$34</definedName>
    <definedName name="PERC_EMPREG_AVISO_PREVIO_IND">'DADOS-ESTATISTICOS'!$F$21</definedName>
    <definedName name="PERC_EMPREG_AVISO_PREVIO_TRAB">'DADOS-ESTATISTICOS'!$F$24</definedName>
    <definedName name="PERC_EMPREG_DEMIT_SEM_JUSTA_CAUSA_TOTAL_DESLIG">'DADOS-ESTATISTICOS'!$F$20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ENCARREGADOS!$E$60</definedName>
    <definedName name="PERC_MOD_3_PROVISAO_RESCISAO" localSheetId="4">SERVENTES!$E$60</definedName>
    <definedName name="PERC_MULTA_FGTS">'DADOS-ESTATISTICOS'!$F$22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'DADOS-ESTATISTICOS'!$F$32</definedName>
    <definedName name="PERC_PARTIC_FEM_VIGIL">'DADOS-ESTATISTICOS'!$F$37</definedName>
    <definedName name="PERC_PARTIC_MASC_VIGIL">'DADOS-ESTATISTICOS'!$F$33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ENCARREGADOS!$E$86</definedName>
    <definedName name="PERC_TRIBUTOS" localSheetId="4">SERVENTES!$E$86</definedName>
    <definedName name="PERC_TRIBUTOS" localSheetId="5">'SERVENTES-AREA-HOSP'!$E$86</definedName>
    <definedName name="PORTARIA_LIMITES">'INSERÇÃO-DE-DADOS'!$N$4</definedName>
    <definedName name="PRODUT_AREA_ESQ_EXTERNA">'INSERÇÃO-DE-DADOS'!$M$11</definedName>
    <definedName name="PRODUT_AREA_EXTERNA">'INSERÇÃO-DE-DADOS'!$M$10</definedName>
    <definedName name="PRODUT_AREA_FACHADA_ENVID">'INSERÇÃO-DE-DADOS'!$M$12</definedName>
    <definedName name="PRODUT_AREA_HOSPITALAR">'INSERÇÃO-DE-DADOS'!$M$13</definedName>
    <definedName name="PRODUT_AREA_INTERNA">'INSERÇÃO-DE-DADOS'!$M$9</definedName>
    <definedName name="QTDE_DE_ENC">'INSERÇÃO-DE-DADOS'!$E$19</definedName>
    <definedName name="QTDE_DE_SERV">'INSERÇÃO-DE-DADOS'!$E$20</definedName>
    <definedName name="QTDE_DE_SERV_HOSP">'INSERÇÃO-DE-DADOS'!$E$21</definedName>
    <definedName name="QTDE_ESTIMADA_SERVENTES">'QTDE-ESTIMADA-SERVENTES'!$D$10</definedName>
    <definedName name="RAMO">'INSERÇÃO-DE-DADOS'!$B$1</definedName>
    <definedName name="RELACAO_SERVENTES_ENCARREGADOS">'INSERÇÃO-DE-DADOS'!$N$15</definedName>
    <definedName name="SAL_MINIMO">'INSERÇÃO-DE-DADOS'!$F$27</definedName>
    <definedName name="SALARIO_NORMATIVO_ENC">'INSERÇÃO-DE-DADOS'!$F$19</definedName>
    <definedName name="SALARIO_NORMATIVO_SERV">'INSERÇÃO-DE-DADOS'!$F$20</definedName>
    <definedName name="SALARIO_NORMATIVO_SERV_HOSP">'INSERÇÃO-DE-DADOS'!$F$21</definedName>
    <definedName name="SERVENTE">'INSERÇÃO-DE-DADOS'!$C$20</definedName>
    <definedName name="SERVENTE_AREA_HOSPITALAR">'INSERÇÃO-DE-DADOS'!$C$21</definedName>
    <definedName name="SUBMOD_2_1_DEC_TERC_ADIC_FERIAS_ENC" localSheetId="3">ENCARREGADOS!$F$32</definedName>
    <definedName name="SUBMOD_2_1_DEC_TERC_ADIC_FERIAS_SERV" localSheetId="4">SERVENTES!$F$32</definedName>
    <definedName name="SUBMOD_2_1_DEC_TERC_ADIC_FERIAS_SERV_HOSP" localSheetId="5">'SERVENTES-AREA-HOSP'!$F$32</definedName>
    <definedName name="SUBMOD_2_2_GPS_FGTS_ENC" localSheetId="3">ENCARREGADOS!$F$43</definedName>
    <definedName name="SUBMOD_2_2_GPS_FGTS_SERV" localSheetId="4">SERVENTES!$F$43</definedName>
    <definedName name="SUBMOD_2_2_GPS_FGTS_SERV_HOSP" localSheetId="5">'SERVENTES-AREA-HOSP'!$F$43</definedName>
    <definedName name="SUBMOD_2_3_BENEFICIOS_ENC" localSheetId="3">ENCARREGADOS!$F$51</definedName>
    <definedName name="SUBMOD_2_3_BENEFICIOS_SERV" localSheetId="4">SERVENTES!$F$51</definedName>
    <definedName name="SUBMOD_2_3_BENEFICIOS_SERV_HOSP" localSheetId="5">'SERVENTES-AREA-HOSP'!$F$51</definedName>
    <definedName name="SUBMOD_4_1_SUBSTITUTO_ENC" localSheetId="3">ENCARREGADOS!$F$70</definedName>
    <definedName name="SUBMOD_4_1_SUBSTITUTO_SERV" localSheetId="4">SERVENTES!$F$70</definedName>
    <definedName name="SUBMOD_4_2_INTRAJORNADA_ENC" localSheetId="3">ENCARREGADOS!$F$74</definedName>
    <definedName name="SUBMOD_4_2_INTRAJORNADA_SERV" localSheetId="4">SERVENTES!$F$74</definedName>
    <definedName name="TEMPO_INTERVALO_REFEICAO">'INSERÇÃO-DE-DADOS'!$F$56</definedName>
    <definedName name="TIPO_DE_SERVICO">'INSERÇÃO-DE-DADOS'!$E$24</definedName>
    <definedName name="TRANSPORTE_POR_DIA">'INSERÇÃO-DE-DADOS'!$F$41</definedName>
    <definedName name="UF">'INSERÇÃO-DE-DADOS'!$F$13</definedName>
    <definedName name="UG">'INSERÇÃO-DE-DADOS'!$B$2</definedName>
    <definedName name="UNIFORMES">'INSERÇÃO-DE-DADOS'!$F$60</definedName>
    <definedName name="VALOR_LIMITE_CONTRATACAO_POR_AREA">'CUSTOS POR M²'!$G$58</definedName>
    <definedName name="VALOR_LIMITES_AREA_EXTERNA">'CUSTOS POR M²'!$G$54</definedName>
    <definedName name="VALOR_LIMITES_AREA_INTERNA">'CUSTOS POR M²'!$G$53</definedName>
    <definedName name="VALOR_LIMITES_ESQ_EXTERNA">'CUSTOS POR M²'!$G$55</definedName>
    <definedName name="VALOR_LIMITES_FACHADA_ENVID">'CUSTOS POR M²'!$G$56</definedName>
    <definedName name="VALOR_TOTAL_ENC" localSheetId="3">ENCARREGADOS!$F$99</definedName>
    <definedName name="VALOR_TOTAL_SERV" localSheetId="3">SERVENTES!$F$99</definedName>
    <definedName name="VALOR_TOTAL_SERV">SERVENTES!$F$99</definedName>
    <definedName name="VALOR_TOTAL_SERV_HOSP" localSheetId="4">'SERVENTES-AREA-HOSP'!$F$99</definedName>
    <definedName name="VALOR_TOTAL_SERV_HOSP">'SERVENTES-AREA-HOSP'!$F$99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1" l="1"/>
  <c r="C9" i="11"/>
  <c r="B9" i="11"/>
  <c r="C8" i="11"/>
  <c r="C7" i="11"/>
  <c r="B7" i="11"/>
  <c r="C6" i="11"/>
  <c r="D5" i="11"/>
  <c r="C5" i="11"/>
  <c r="B5" i="11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R33" i="10"/>
  <c r="R35" i="10" s="1"/>
  <c r="Q33" i="10"/>
  <c r="Q35" i="10" s="1"/>
  <c r="P33" i="10"/>
  <c r="P35" i="10" s="1"/>
  <c r="O33" i="10"/>
  <c r="O35" i="10" s="1"/>
  <c r="N33" i="10"/>
  <c r="N35" i="10" s="1"/>
  <c r="M33" i="10"/>
  <c r="M35" i="10" s="1"/>
  <c r="L33" i="10"/>
  <c r="L35" i="10" s="1"/>
  <c r="K33" i="10"/>
  <c r="K35" i="10" s="1"/>
  <c r="J33" i="10"/>
  <c r="J35" i="10" s="1"/>
  <c r="I33" i="10"/>
  <c r="I35" i="10" s="1"/>
  <c r="H33" i="10"/>
  <c r="H35" i="10" s="1"/>
  <c r="G33" i="10"/>
  <c r="G35" i="10" s="1"/>
  <c r="F33" i="10"/>
  <c r="F35" i="10" s="1"/>
  <c r="E33" i="10"/>
  <c r="E35" i="10" s="1"/>
  <c r="D33" i="10"/>
  <c r="D35" i="10" s="1"/>
  <c r="C33" i="10"/>
  <c r="C35" i="10" s="1"/>
  <c r="J33" i="9"/>
  <c r="I33" i="9"/>
  <c r="H33" i="9"/>
  <c r="G33" i="9"/>
  <c r="F33" i="9"/>
  <c r="E33" i="9"/>
  <c r="D33" i="9"/>
  <c r="C33" i="9"/>
  <c r="J32" i="9"/>
  <c r="J34" i="9" s="1"/>
  <c r="I32" i="9"/>
  <c r="I34" i="9" s="1"/>
  <c r="H32" i="9"/>
  <c r="H34" i="9" s="1"/>
  <c r="G32" i="9"/>
  <c r="G34" i="9" s="1"/>
  <c r="F32" i="9"/>
  <c r="F34" i="9" s="1"/>
  <c r="E32" i="9"/>
  <c r="E34" i="9" s="1"/>
  <c r="D32" i="9"/>
  <c r="D34" i="9" s="1"/>
  <c r="C32" i="9"/>
  <c r="C34" i="9" s="1"/>
  <c r="C31" i="8"/>
  <c r="F30" i="8"/>
  <c r="E30" i="8"/>
  <c r="C30" i="8"/>
  <c r="G21" i="8"/>
  <c r="E21" i="8"/>
  <c r="F15" i="8"/>
  <c r="D15" i="8"/>
  <c r="F14" i="8"/>
  <c r="D14" i="8"/>
  <c r="F13" i="8"/>
  <c r="D13" i="8"/>
  <c r="F12" i="8"/>
  <c r="E12" i="8"/>
  <c r="D12" i="8"/>
  <c r="G8" i="8"/>
  <c r="F8" i="8"/>
  <c r="E8" i="8"/>
  <c r="D8" i="8"/>
  <c r="C8" i="8"/>
  <c r="E7" i="8"/>
  <c r="D7" i="8"/>
  <c r="C7" i="8"/>
  <c r="G6" i="8"/>
  <c r="F6" i="8"/>
  <c r="E6" i="8"/>
  <c r="E9" i="8" s="1"/>
  <c r="D6" i="8"/>
  <c r="C6" i="8"/>
  <c r="F2" i="8"/>
  <c r="B2" i="8"/>
  <c r="B1" i="8"/>
  <c r="C54" i="7"/>
  <c r="C45" i="7"/>
  <c r="C44" i="7"/>
  <c r="F38" i="7"/>
  <c r="E38" i="7"/>
  <c r="D38" i="7"/>
  <c r="C38" i="7"/>
  <c r="E37" i="7"/>
  <c r="D37" i="7"/>
  <c r="E30" i="7"/>
  <c r="F30" i="7" s="1"/>
  <c r="D30" i="7"/>
  <c r="C30" i="7"/>
  <c r="E29" i="7"/>
  <c r="D29" i="7"/>
  <c r="C21" i="7"/>
  <c r="C13" i="7"/>
  <c r="E12" i="7"/>
  <c r="H2" i="7"/>
  <c r="B2" i="7"/>
  <c r="B1" i="7"/>
  <c r="E89" i="6"/>
  <c r="E88" i="6"/>
  <c r="E87" i="6"/>
  <c r="E86" i="6"/>
  <c r="E85" i="6"/>
  <c r="E84" i="6"/>
  <c r="F80" i="6"/>
  <c r="C80" i="6"/>
  <c r="F79" i="6"/>
  <c r="F78" i="6"/>
  <c r="F81" i="6" s="1"/>
  <c r="F97" i="6" s="1"/>
  <c r="F77" i="6"/>
  <c r="F74" i="6"/>
  <c r="F73" i="6"/>
  <c r="E69" i="6"/>
  <c r="C69" i="6"/>
  <c r="E58" i="6"/>
  <c r="E57" i="6"/>
  <c r="F50" i="6"/>
  <c r="C50" i="6"/>
  <c r="F49" i="6"/>
  <c r="C49" i="6"/>
  <c r="F48" i="6"/>
  <c r="C48" i="6"/>
  <c r="F47" i="6"/>
  <c r="E42" i="6"/>
  <c r="E41" i="6"/>
  <c r="E40" i="6"/>
  <c r="E39" i="6"/>
  <c r="E38" i="6"/>
  <c r="E37" i="6"/>
  <c r="E36" i="6"/>
  <c r="E35" i="6"/>
  <c r="F25" i="6"/>
  <c r="C25" i="6"/>
  <c r="F24" i="6"/>
  <c r="C24" i="6"/>
  <c r="F23" i="6"/>
  <c r="C23" i="6"/>
  <c r="F22" i="6"/>
  <c r="F21" i="6"/>
  <c r="F46" i="6" s="1"/>
  <c r="F17" i="6"/>
  <c r="D16" i="6"/>
  <c r="D15" i="6"/>
  <c r="E14" i="6"/>
  <c r="F12" i="6"/>
  <c r="F11" i="6"/>
  <c r="F10" i="6"/>
  <c r="D9" i="6"/>
  <c r="F8" i="6"/>
  <c r="F6" i="6"/>
  <c r="D6" i="6"/>
  <c r="D5" i="6"/>
  <c r="F2" i="6"/>
  <c r="B2" i="6"/>
  <c r="B1" i="6"/>
  <c r="F97" i="5"/>
  <c r="E89" i="5"/>
  <c r="E88" i="5"/>
  <c r="E87" i="5"/>
  <c r="E86" i="5"/>
  <c r="E85" i="5"/>
  <c r="E84" i="5"/>
  <c r="F80" i="5"/>
  <c r="C80" i="5"/>
  <c r="F79" i="5"/>
  <c r="F78" i="5"/>
  <c r="F81" i="5" s="1"/>
  <c r="F77" i="5"/>
  <c r="F74" i="5"/>
  <c r="F73" i="5"/>
  <c r="E69" i="5"/>
  <c r="C69" i="5"/>
  <c r="E58" i="5"/>
  <c r="E57" i="5"/>
  <c r="F50" i="5"/>
  <c r="C50" i="5"/>
  <c r="F49" i="5"/>
  <c r="C49" i="5"/>
  <c r="F48" i="5"/>
  <c r="C48" i="5"/>
  <c r="F47" i="5"/>
  <c r="E42" i="5"/>
  <c r="E41" i="5"/>
  <c r="E40" i="5"/>
  <c r="E39" i="5"/>
  <c r="E38" i="5"/>
  <c r="E37" i="5"/>
  <c r="E36" i="5"/>
  <c r="E35" i="5"/>
  <c r="F25" i="5"/>
  <c r="C25" i="5"/>
  <c r="F24" i="5"/>
  <c r="C24" i="5"/>
  <c r="F23" i="5"/>
  <c r="C23" i="5"/>
  <c r="F22" i="5"/>
  <c r="F21" i="5"/>
  <c r="F46" i="5" s="1"/>
  <c r="F17" i="5"/>
  <c r="D16" i="5"/>
  <c r="D15" i="5"/>
  <c r="E14" i="5"/>
  <c r="F12" i="5"/>
  <c r="F11" i="5"/>
  <c r="F10" i="5"/>
  <c r="D9" i="5"/>
  <c r="F8" i="5"/>
  <c r="F6" i="5"/>
  <c r="D6" i="5"/>
  <c r="D5" i="5"/>
  <c r="F2" i="5"/>
  <c r="B2" i="5"/>
  <c r="B1" i="5"/>
  <c r="F99" i="4"/>
  <c r="F97" i="4"/>
  <c r="F90" i="4"/>
  <c r="F98" i="4" s="1"/>
  <c r="E89" i="4"/>
  <c r="E88" i="4"/>
  <c r="E87" i="4"/>
  <c r="E86" i="4"/>
  <c r="E85" i="4"/>
  <c r="E84" i="4"/>
  <c r="F81" i="4"/>
  <c r="F80" i="4"/>
  <c r="C80" i="4"/>
  <c r="F79" i="4"/>
  <c r="F78" i="4"/>
  <c r="F77" i="4"/>
  <c r="F74" i="4"/>
  <c r="F73" i="4"/>
  <c r="F70" i="4"/>
  <c r="F96" i="4" s="1"/>
  <c r="E69" i="4"/>
  <c r="C69" i="4"/>
  <c r="F60" i="4"/>
  <c r="F95" i="4" s="1"/>
  <c r="E58" i="4"/>
  <c r="E57" i="4"/>
  <c r="F51" i="4"/>
  <c r="F50" i="4"/>
  <c r="C50" i="4"/>
  <c r="F49" i="4"/>
  <c r="C49" i="4"/>
  <c r="F48" i="4"/>
  <c r="C48" i="4"/>
  <c r="F47" i="4"/>
  <c r="F43" i="4"/>
  <c r="E42" i="4"/>
  <c r="E41" i="4"/>
  <c r="E40" i="4"/>
  <c r="E39" i="4"/>
  <c r="E38" i="4"/>
  <c r="E37" i="4"/>
  <c r="E36" i="4"/>
  <c r="E35" i="4"/>
  <c r="F32" i="4"/>
  <c r="F26" i="4"/>
  <c r="F25" i="4"/>
  <c r="C25" i="4"/>
  <c r="F24" i="4"/>
  <c r="C24" i="4"/>
  <c r="F23" i="4"/>
  <c r="C23" i="4"/>
  <c r="F22" i="4"/>
  <c r="F21" i="4"/>
  <c r="F46" i="4" s="1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3" i="3"/>
  <c r="E31" i="3"/>
  <c r="E30" i="3"/>
  <c r="E65" i="5" s="1"/>
  <c r="E29" i="3"/>
  <c r="E24" i="3"/>
  <c r="E23" i="3"/>
  <c r="E20" i="3"/>
  <c r="E17" i="3"/>
  <c r="E6" i="3"/>
  <c r="E5" i="3"/>
  <c r="E30" i="6" s="1"/>
  <c r="F42" i="2"/>
  <c r="F41" i="2"/>
  <c r="F34" i="2"/>
  <c r="E32" i="3" s="1"/>
  <c r="E71" i="1"/>
  <c r="E70" i="1"/>
  <c r="E69" i="1"/>
  <c r="N15" i="1"/>
  <c r="K14" i="1"/>
  <c r="J14" i="1"/>
  <c r="I14" i="1"/>
  <c r="L13" i="1"/>
  <c r="L12" i="1"/>
  <c r="L11" i="1"/>
  <c r="L10" i="1"/>
  <c r="L9" i="1"/>
  <c r="D53" i="7" l="1"/>
  <c r="F54" i="4"/>
  <c r="E21" i="3"/>
  <c r="E54" i="4"/>
  <c r="E64" i="6"/>
  <c r="E64" i="4"/>
  <c r="E64" i="5"/>
  <c r="F64" i="4"/>
  <c r="D8" i="11"/>
  <c r="B8" i="11"/>
  <c r="C56" i="7"/>
  <c r="E22" i="3"/>
  <c r="F69" i="4"/>
  <c r="F42" i="4"/>
  <c r="F40" i="4"/>
  <c r="F38" i="4"/>
  <c r="F36" i="4"/>
  <c r="F41" i="4"/>
  <c r="F39" i="4"/>
  <c r="F37" i="4"/>
  <c r="F35" i="4"/>
  <c r="F93" i="4"/>
  <c r="F84" i="4"/>
  <c r="F85" i="4" s="1"/>
  <c r="F65" i="4"/>
  <c r="F30" i="4"/>
  <c r="F67" i="4"/>
  <c r="G37" i="7"/>
  <c r="D44" i="7"/>
  <c r="D12" i="7"/>
  <c r="G29" i="7"/>
  <c r="F51" i="5"/>
  <c r="F26" i="5"/>
  <c r="E54" i="6"/>
  <c r="D20" i="7"/>
  <c r="F94" i="4"/>
  <c r="F68" i="4"/>
  <c r="E54" i="5"/>
  <c r="C37" i="7"/>
  <c r="C20" i="7"/>
  <c r="F29" i="7"/>
  <c r="E20" i="7"/>
  <c r="E67" i="5"/>
  <c r="E67" i="6"/>
  <c r="E67" i="4"/>
  <c r="E31" i="5"/>
  <c r="E31" i="6"/>
  <c r="E31" i="4"/>
  <c r="E66" i="6"/>
  <c r="E66" i="4"/>
  <c r="E66" i="5"/>
  <c r="F51" i="6"/>
  <c r="F26" i="6"/>
  <c r="F37" i="7"/>
  <c r="H37" i="7" s="1"/>
  <c r="E44" i="7"/>
  <c r="B6" i="11"/>
  <c r="D6" i="11"/>
  <c r="F58" i="4"/>
  <c r="E68" i="6"/>
  <c r="E68" i="4"/>
  <c r="E68" i="5"/>
  <c r="F31" i="4"/>
  <c r="F66" i="4"/>
  <c r="F31" i="5"/>
  <c r="C12" i="7"/>
  <c r="C29" i="7"/>
  <c r="F57" i="4"/>
  <c r="E65" i="4"/>
  <c r="E30" i="5"/>
  <c r="E65" i="6"/>
  <c r="C55" i="7"/>
  <c r="L14" i="1"/>
  <c r="E25" i="3"/>
  <c r="E30" i="4"/>
  <c r="C53" i="7"/>
  <c r="C57" i="7"/>
  <c r="F56" i="4" l="1"/>
  <c r="E56" i="6"/>
  <c r="E56" i="5"/>
  <c r="E56" i="4"/>
  <c r="F59" i="4"/>
  <c r="E59" i="4"/>
  <c r="E59" i="6"/>
  <c r="E59" i="5"/>
  <c r="F30" i="6"/>
  <c r="F31" i="6"/>
  <c r="F93" i="6"/>
  <c r="F88" i="4"/>
  <c r="F87" i="4"/>
  <c r="F86" i="4" s="1"/>
  <c r="D57" i="7"/>
  <c r="D54" i="7"/>
  <c r="F89" i="4"/>
  <c r="D56" i="7"/>
  <c r="H29" i="7"/>
  <c r="D7" i="11"/>
  <c r="D10" i="11" s="1"/>
  <c r="F35" i="5"/>
  <c r="F38" i="5"/>
  <c r="E14" i="8"/>
  <c r="F93" i="5"/>
  <c r="F30" i="5"/>
  <c r="F32" i="5" s="1"/>
  <c r="F55" i="5"/>
  <c r="F55" i="4"/>
  <c r="E55" i="4"/>
  <c r="E55" i="6"/>
  <c r="E55" i="5"/>
  <c r="F58" i="5" l="1"/>
  <c r="F40" i="5"/>
  <c r="F37" i="5"/>
  <c r="F43" i="5" s="1"/>
  <c r="D55" i="7"/>
  <c r="F32" i="6"/>
  <c r="F42" i="5"/>
  <c r="F54" i="5" s="1"/>
  <c r="F39" i="5"/>
  <c r="F36" i="5"/>
  <c r="F41" i="5"/>
  <c r="F59" i="5"/>
  <c r="F56" i="5"/>
  <c r="F60" i="5" l="1"/>
  <c r="F94" i="5"/>
  <c r="F57" i="5"/>
  <c r="F40" i="6"/>
  <c r="F39" i="6"/>
  <c r="F55" i="6"/>
  <c r="F59" i="6"/>
  <c r="F38" i="6"/>
  <c r="F37" i="6"/>
  <c r="F58" i="6"/>
  <c r="F56" i="6"/>
  <c r="F36" i="6"/>
  <c r="F35" i="6"/>
  <c r="F42" i="6"/>
  <c r="F54" i="6" s="1"/>
  <c r="F41" i="6"/>
  <c r="F95" i="5" l="1"/>
  <c r="F67" i="5"/>
  <c r="F64" i="5"/>
  <c r="F68" i="5"/>
  <c r="F69" i="5"/>
  <c r="F66" i="5"/>
  <c r="F65" i="5"/>
  <c r="F43" i="6"/>
  <c r="F70" i="5" l="1"/>
  <c r="F57" i="6"/>
  <c r="F60" i="6" s="1"/>
  <c r="F94" i="6"/>
  <c r="F95" i="6" l="1"/>
  <c r="F66" i="6"/>
  <c r="F67" i="6"/>
  <c r="F68" i="6"/>
  <c r="F69" i="6"/>
  <c r="F65" i="6"/>
  <c r="F64" i="6"/>
  <c r="F96" i="5"/>
  <c r="F84" i="5"/>
  <c r="E13" i="8"/>
  <c r="E15" i="8" s="1"/>
  <c r="F85" i="5" l="1"/>
  <c r="F87" i="5" s="1"/>
  <c r="F88" i="5"/>
  <c r="F70" i="6"/>
  <c r="F86" i="5" l="1"/>
  <c r="F90" i="5" s="1"/>
  <c r="F98" i="5" s="1"/>
  <c r="F99" i="5" s="1"/>
  <c r="F96" i="6"/>
  <c r="F84" i="6"/>
  <c r="F89" i="5"/>
  <c r="D21" i="7" l="1"/>
  <c r="G7" i="8"/>
  <c r="G9" i="8" s="1"/>
  <c r="G38" i="7"/>
  <c r="E13" i="7"/>
  <c r="E31" i="8"/>
  <c r="E32" i="8" s="1"/>
  <c r="F7" i="8"/>
  <c r="G30" i="7"/>
  <c r="E21" i="7"/>
  <c r="D13" i="7"/>
  <c r="H38" i="7"/>
  <c r="H30" i="7"/>
  <c r="F88" i="6"/>
  <c r="F87" i="6"/>
  <c r="F86" i="6" s="1"/>
  <c r="F90" i="6" s="1"/>
  <c r="F98" i="6" s="1"/>
  <c r="F99" i="6" s="1"/>
  <c r="F85" i="6"/>
  <c r="F89" i="6"/>
  <c r="E45" i="7" l="1"/>
  <c r="D45" i="7"/>
  <c r="E56" i="7"/>
  <c r="H39" i="7"/>
  <c r="E54" i="7"/>
  <c r="E22" i="7"/>
  <c r="E53" i="7"/>
  <c r="F31" i="8"/>
  <c r="E14" i="7"/>
  <c r="E55" i="7"/>
  <c r="H31" i="7"/>
  <c r="D22" i="8" l="1"/>
  <c r="F53" i="7"/>
  <c r="G53" i="7"/>
  <c r="E57" i="7"/>
  <c r="E46" i="7"/>
  <c r="D24" i="8"/>
  <c r="F55" i="7"/>
  <c r="G55" i="7"/>
  <c r="F56" i="7"/>
  <c r="D25" i="8"/>
  <c r="G56" i="7"/>
  <c r="F54" i="7"/>
  <c r="D23" i="8"/>
  <c r="G54" i="7"/>
  <c r="E25" i="8" l="1"/>
  <c r="F25" i="8" s="1"/>
  <c r="G25" i="8"/>
  <c r="H25" i="8" s="1"/>
  <c r="F24" i="8"/>
  <c r="H24" i="8"/>
  <c r="G24" i="8"/>
  <c r="E24" i="8"/>
  <c r="G23" i="8"/>
  <c r="H23" i="8" s="1"/>
  <c r="E23" i="8"/>
  <c r="F23" i="8" s="1"/>
  <c r="E22" i="8"/>
  <c r="F57" i="7"/>
  <c r="G57" i="7"/>
  <c r="F22" i="8"/>
  <c r="G22" i="8"/>
  <c r="H22" i="8" s="1"/>
  <c r="F32" i="8"/>
  <c r="G30" i="8" s="1"/>
  <c r="G58" i="7"/>
</calcChain>
</file>

<file path=xl/sharedStrings.xml><?xml version="1.0" encoding="utf-8"?>
<sst xmlns="http://schemas.openxmlformats.org/spreadsheetml/2006/main" count="1010" uniqueCount="334">
  <si>
    <t>RAMO: MINISTÉRIO PÚBLICO FEDERAL</t>
  </si>
  <si>
    <t>INFORMAÇÕES SOBRE O LOCAL ONDE OS SERVIÇOS DE LIMPEZA E CONSERVAÇÃO SERÃO EXECUTADOS</t>
  </si>
  <si>
    <t>UNIDADE GESTORA (SIGLA): PR/AP</t>
  </si>
  <si>
    <t>DATA:</t>
  </si>
  <si>
    <t>CUSTOS REFERENTES A SERVIÇOS DE LIMPEZA E CONSERVAÇÃO</t>
  </si>
  <si>
    <t>PORTARIA VIGENTE À ÉPOCA DA CONTRATAÇÃO</t>
  </si>
  <si>
    <t>Nº</t>
  </si>
  <si>
    <t>Dados referentes à licitação</t>
  </si>
  <si>
    <t>ÁREAS FÍSICAS A SEREM LIMPAS (em m²)</t>
  </si>
  <si>
    <t>Nº do Processo (X.XX.XXX.XXXXXX/XXXX-XX)</t>
  </si>
  <si>
    <t>1.12.000.001095/2019-21</t>
  </si>
  <si>
    <t>TIPO DE ÁREA
(1)</t>
  </si>
  <si>
    <t>EDIFÍCIO-SEDE</t>
  </si>
  <si>
    <t>ANEXOS</t>
  </si>
  <si>
    <t>PTMs/ PRMs</t>
  </si>
  <si>
    <t>TOTAL</t>
  </si>
  <si>
    <t>PRODUT. (2)</t>
  </si>
  <si>
    <t>FREQUÊNCIA (EM HORAS) (3)</t>
  </si>
  <si>
    <t>Modalidade de Licitação nº (XX/AAAA)</t>
  </si>
  <si>
    <t>Pregão nº</t>
  </si>
  <si>
    <t>XX/2020</t>
  </si>
  <si>
    <t>Data / Horário</t>
  </si>
  <si>
    <t>XX/XX/20XX</t>
  </si>
  <si>
    <t>HH:MM</t>
  </si>
  <si>
    <t>(A)</t>
  </si>
  <si>
    <t>(B)</t>
  </si>
  <si>
    <t>(C)</t>
  </si>
  <si>
    <t>D = (A+B+C)</t>
  </si>
  <si>
    <t>área interna</t>
  </si>
  <si>
    <t>Dados referentes à contratação</t>
  </si>
  <si>
    <t>área externa</t>
  </si>
  <si>
    <t>A</t>
  </si>
  <si>
    <t>Data de Apresentação da Proposta (DD/MM/AAAA)</t>
  </si>
  <si>
    <t>esquadria externa</t>
  </si>
  <si>
    <t>B</t>
  </si>
  <si>
    <t>Local de Execução (Sede, Anexo I ou II, PTM, PRM)</t>
  </si>
  <si>
    <t>Sede e Anexo</t>
  </si>
  <si>
    <t>fachaçada envidraçada</t>
  </si>
  <si>
    <t>C</t>
  </si>
  <si>
    <t>Unidade da Federação</t>
  </si>
  <si>
    <t>AP</t>
  </si>
  <si>
    <t>área médico hospitalar</t>
  </si>
  <si>
    <t>D</t>
  </si>
  <si>
    <t>Acordo, Conv. ou Sentença Normativa em Dissídio Coletivo (MM/AAAA)</t>
  </si>
  <si>
    <t>XX/2019</t>
  </si>
  <si>
    <t>E</t>
  </si>
  <si>
    <t>Número de Meses de Execução Contratual</t>
  </si>
  <si>
    <t>QTDE DE SERVENTES/ENCARREGADO (SE FOR O CASO) (4)</t>
  </si>
  <si>
    <t>Identificação do serviço</t>
  </si>
  <si>
    <t>OBSERVAÇÕES (conforme o Anexo VII-D da IN SEGES/MPDG nº 5/2017)</t>
  </si>
  <si>
    <t>Item</t>
  </si>
  <si>
    <t>Tipo de Serviço</t>
  </si>
  <si>
    <t>Adic. Insalub.?</t>
  </si>
  <si>
    <t>Qtde a Contratar</t>
  </si>
  <si>
    <t>Salário Normat. (em R$)</t>
  </si>
  <si>
    <r>
      <rPr>
        <b/>
        <sz val="11"/>
        <rFont val="Segoe UI Light"/>
        <family val="2"/>
        <charset val="1"/>
      </rPr>
      <t>(1)</t>
    </r>
    <r>
      <rPr>
        <sz val="11"/>
        <rFont val="Segoe UI Light"/>
        <family val="2"/>
        <charset val="1"/>
      </rPr>
      <t xml:space="preserve"> Informar as metragens reais da unidade de acordo com os tipos de áreas existentes, incluindo PRMs/PTMs, conforme abrangência da contratação.</t>
    </r>
  </si>
  <si>
    <t>1</t>
  </si>
  <si>
    <t>Encarregado de Limpeza</t>
  </si>
  <si>
    <r>
      <rPr>
        <b/>
        <sz val="11"/>
        <rFont val="Segoe UI Light"/>
        <family val="2"/>
        <charset val="1"/>
      </rPr>
      <t xml:space="preserve">(2) </t>
    </r>
    <r>
      <rPr>
        <sz val="11"/>
        <rFont val="Segoe UI Light"/>
        <family val="2"/>
        <charset val="1"/>
      </rPr>
      <t>Caso as produtividades mínimas adotadas sejam diferentes, estes valores das planilhas, bem como os coeficientes deles decorrentes (Ki e Ke), deverão ser adequados à nova situação.</t>
    </r>
  </si>
  <si>
    <t>2</t>
  </si>
  <si>
    <t>Servente</t>
  </si>
  <si>
    <t>NÃO</t>
  </si>
  <si>
    <t>3</t>
  </si>
  <si>
    <t>Servente - Área Médico Hospitalar</t>
  </si>
  <si>
    <r>
      <rPr>
        <b/>
        <sz val="11"/>
        <rFont val="Segoe UI Light"/>
        <family val="2"/>
        <charset val="1"/>
      </rPr>
      <t>(3)</t>
    </r>
    <r>
      <rPr>
        <sz val="11"/>
        <rFont val="Segoe UI Light"/>
        <family val="2"/>
        <charset val="1"/>
      </rPr>
      <t xml:space="preserve"> No caso das esquadrias externas, inserir a frequência de horas mensais. Em relação às fachadas envidraçadas, incluir a frequência de horas semestrais.</t>
    </r>
  </si>
  <si>
    <t>Mão de obra</t>
  </si>
  <si>
    <r>
      <rPr>
        <b/>
        <sz val="11"/>
        <rFont val="Segoe UI Light"/>
        <family val="2"/>
        <charset val="1"/>
      </rPr>
      <t>(4)</t>
    </r>
    <r>
      <rPr>
        <sz val="11"/>
        <rFont val="Segoe UI Light"/>
        <family val="2"/>
        <charset val="1"/>
      </rPr>
      <t xml:space="preserve"> Caso a relação entre serventes e encarregados seja diferente, os valores das planilhas, bem como os coeficientes deles decorrentes (Ki e Ke), deverão ser adequados à nova situação. </t>
    </r>
  </si>
  <si>
    <t>Tipo de Serviço (mesmo serviço com características distintas)</t>
  </si>
  <si>
    <t>Limpeza e Conservação</t>
  </si>
  <si>
    <t>Classificação Brasileira de Ocupações (CBO)</t>
  </si>
  <si>
    <t>5143-20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</si>
  <si>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</si>
  <si>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</si>
  <si>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</si>
  <si>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</si>
  <si>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</si>
  <si>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</si>
  <si>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Adicional de Insalubridade (em %)</t>
  </si>
  <si>
    <t>Outras Remunerações 1 (Especificar)</t>
  </si>
  <si>
    <t>Outras Remunerações 2 (Especificar)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</si>
  <si>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</si>
  <si>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</si>
  <si>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</si>
  <si>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</si>
  <si>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</si>
  <si>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</si>
  <si>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</si>
  <si>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</si>
  <si>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</si>
  <si>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</si>
  <si>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</si>
  <si>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</si>
  <si>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funeral</t>
  </si>
  <si>
    <t>Outros Benefícios 2 (Especificar)</t>
  </si>
  <si>
    <t>F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</si>
  <si>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</si>
  <si>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</si>
  <si>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</si>
  <si>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</si>
  <si>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</si>
  <si>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</si>
  <si>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</si>
  <si>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</si>
  <si>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</si>
  <si>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</si>
  <si>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</si>
  <si>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</si>
  <si>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</si>
  <si>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</si>
  <si>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</si>
  <si>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</si>
  <si>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</si>
  <si>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</si>
  <si>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</si>
  <si>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Outros Insumos (Especificar)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</si>
  <si>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</si>
  <si>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</si>
  <si>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</si>
  <si>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</si>
  <si>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</si>
  <si>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</si>
  <si>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</si>
  <si>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</si>
  <si>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</si>
  <si>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</si>
  <si>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</si>
  <si>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</si>
  <si>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</si>
  <si>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</si>
  <si>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</si>
  <si>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</si>
  <si>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</si>
  <si>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Média Anual de Dias Trabalhados no Mês</t>
  </si>
  <si>
    <t xml:space="preserve">Meses no Ano </t>
  </si>
  <si>
    <t>Meses no Semestre</t>
  </si>
  <si>
    <t>G</t>
  </si>
  <si>
    <t>Hora Normal (em minutos)</t>
  </si>
  <si>
    <t>H</t>
  </si>
  <si>
    <t>Carga Horária Semanal (em horas)</t>
  </si>
  <si>
    <t>Dias / %</t>
  </si>
  <si>
    <t>Desconto Remuneração Transporte</t>
  </si>
  <si>
    <t>MÓDULO 3: PROVISÃO PARA RESCISÃO</t>
  </si>
  <si>
    <t>Provisão para Rescisão</t>
  </si>
  <si>
    <t>Faxineiros demitidos sem justa causa / Total de desligamentos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</si>
  <si>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</si>
  <si>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</si>
  <si>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</si>
  <si>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</si>
  <si>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</si>
  <si>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</si>
  <si>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</si>
  <si>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</si>
  <si>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 nos Serviços de Limpeza (em %)</t>
  </si>
  <si>
    <t>Empregados afastados por acidente de trabalho (em %)</t>
  </si>
  <si>
    <t>Dias pagos pela empresa em acidentes de trabalho</t>
  </si>
  <si>
    <t>Dias de Licença-Maternidade</t>
  </si>
  <si>
    <t>Participação Feminina nos Serviços de Limpeza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</si>
  <si>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</si>
  <si>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</si>
  <si>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</si>
  <si>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</si>
  <si>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</si>
  <si>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</si>
  <si>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</si>
  <si>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</si>
  <si>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</si>
  <si>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</si>
  <si>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</si>
  <si>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</si>
  <si>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</si>
  <si>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</si>
  <si>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</si>
  <si>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</si>
  <si>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</si>
  <si>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</si>
  <si>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</si>
  <si>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</si>
  <si>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</si>
  <si>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</si>
  <si>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</si>
  <si>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</si>
  <si>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</si>
  <si>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</si>
  <si>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</si>
  <si>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</si>
  <si>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+ 10%)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</si>
  <si>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</si>
  <si>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</si>
  <si>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</si>
  <si>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</si>
  <si>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</si>
  <si>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+ 10%)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</si>
  <si>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</si>
  <si>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</si>
  <si>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</si>
  <si>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</si>
  <si>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</si>
  <si>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</si>
  <si>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</si>
  <si>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</si>
  <si>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</si>
  <si>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</si>
  <si>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ENCARREGADO</t>
  </si>
  <si>
    <t>Nº do Processo</t>
  </si>
  <si>
    <t>Modalidade de Licitação</t>
  </si>
  <si>
    <t>DISCRIMINAÇÃO DOS SERVIÇOS (DADOS REFERENTES À CONTRATAÇÃO)</t>
  </si>
  <si>
    <t>Quantidade de Encarregados</t>
  </si>
  <si>
    <t>Categoria Profissional (vinculada à execução contratual)</t>
  </si>
  <si>
    <t>PLANILHA DE CUSTOS E FORMAÇÃO DE PREÇOS</t>
  </si>
  <si>
    <t>Salário-Base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</si>
  <si>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</si>
  <si>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</si>
  <si>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</si>
  <si>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</si>
  <si>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</si>
  <si>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</si>
  <si>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</si>
  <si>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</si>
  <si>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</si>
  <si>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ENCARREGADO</t>
  </si>
  <si>
    <t>CUSTOS REFERENTES AO SERVENTE</t>
  </si>
  <si>
    <t>Quantidade de Serventes</t>
  </si>
  <si>
    <t>VALOR TOTAL DO SERVENTE</t>
  </si>
  <si>
    <t>CUSTOS REFERENTES AO SERVENTE ÁREA HOSPITALAR</t>
  </si>
  <si>
    <t>Quantidade de Serventes Área Hospitalar</t>
  </si>
  <si>
    <t>VALOR TOTAL DO SERVENTE ÁREA HOSPITALAR</t>
  </si>
  <si>
    <t>ANEXO VI-B da IN SEGES/MPDG nº 5/2017</t>
  </si>
  <si>
    <t>(Produtividades mínimas previstas no item 3, considerando os parâmetros do Anexo VI-B da Instrução Normativa)</t>
  </si>
  <si>
    <t>I - PREÇO MENSAL UNITÁRIO POR M²</t>
  </si>
  <si>
    <t>ÁREA INTERNA (Fórmulas exemplificativas de cálculo para área interna - alínea "a" do item 3.1 do Anexo VI-B; para as demais alíneas, deverão ser incluídos novos campos na planilha com a metragem adequada)</t>
  </si>
  <si>
    <t>MÃO DE OBRA</t>
  </si>
  <si>
    <t>PRODUTIVIDADE
(1/m²) (I)</t>
  </si>
  <si>
    <t>PREÇO HOMEM-MÊS   ( II )</t>
  </si>
  <si>
    <t>SUBTOTAL (R$/m²)
( I ) x ( II )</t>
  </si>
  <si>
    <t>ENCARREGADO</t>
  </si>
  <si>
    <t>SERVENTE</t>
  </si>
  <si>
    <t>CUSTO POR M² TOTAL - ÁREA INTERNA</t>
  </si>
  <si>
    <t>ÁREA EXTERNA (Fórmulas exemplificativas de cálculo para área externa - alínea "a" do item 3.2 do Anexo VI-B; para as demais alíneas, deverão ser incluídos novos campos na planilha com a metragem adequada).</t>
  </si>
  <si>
    <t>CUSTO POR M² TOTAL - ÁREA EXTERNA</t>
  </si>
  <si>
    <t>ESQUADRIA EXTERNA (Fórmulas exemplificativas de cálculo para área externa - alínea "a" do item 3.3 do Anexo VI-B; para as demais alíneas, deverão ser incluídos novos campos na planilha com a metragem adequada).</t>
  </si>
  <si>
    <t>FREQUENCIA NO MÊS ( II )
 (EM HORAS) (2)</t>
  </si>
  <si>
    <t>JORNADA NO MÊS   ( III )
(EM HORAS)</t>
  </si>
  <si>
    <t>COEFICIENTE (Ki)
( I )x( II )x( III )=  ( IV )</t>
  </si>
  <si>
    <t>PREÇO HOMEM-MÊS   ( V )</t>
  </si>
  <si>
    <t>SUBTOTAL (R$/m²)
( IV )x( V )</t>
  </si>
  <si>
    <t>CUSTO POR M² TOTAL - ESQUADRIA EXTERNA</t>
  </si>
  <si>
    <t>FACHADA ENVIDRAÇADA (Fórmulas exemplificativas de cálculo para área externa - item 3.4 do Anexo VI-B).</t>
  </si>
  <si>
    <t>JORNADA NO MÊS   ( III )
(em horas)</t>
  </si>
  <si>
    <t>CUSTO POR M² TOTAL - FACHADA ENVIDRAÇADA</t>
  </si>
  <si>
    <t>ÁREA MÉDICO HOSPITALAR E ASSEMELHADOS (Fórmulas exemplificativas de cálculo para área externa - item 3.5 do Anexo VI-B).</t>
  </si>
  <si>
    <t>CUSTO POR M² TOTAL - ÁREA MÉDICO HOSPITALAR</t>
  </si>
  <si>
    <t>LIMITE MÁXIMO PARA A CONTRATAÇÃO</t>
  </si>
  <si>
    <t>TIPO DE ÁREA</t>
  </si>
  <si>
    <t>ÁREA (m²)</t>
  </si>
  <si>
    <t>CUSTO MENSAL ESTIMADO
 (R$/m²)</t>
  </si>
  <si>
    <t>LIMITE POR TIPO DE ÁREA (R$)</t>
  </si>
  <si>
    <t>TOTAL
(D)</t>
  </si>
  <si>
    <t>E = (C X D)</t>
  </si>
  <si>
    <t>QUADRO RESUMO - VALOR MENSAL DOS SERVIÇOS</t>
  </si>
  <si>
    <t>ITEM</t>
  </si>
  <si>
    <t>Local da Execução dos Serviços</t>
  </si>
  <si>
    <t>Qtde de empregados
(A)</t>
  </si>
  <si>
    <t>Valor por empregado (R$)
(B)</t>
  </si>
  <si>
    <t>Valor total do serviço
(R$)
C = (AxB)</t>
  </si>
  <si>
    <t>I</t>
  </si>
  <si>
    <t>II</t>
  </si>
  <si>
    <t>III</t>
  </si>
  <si>
    <t>VALOR MENSAL DOS SERVIÇOS (I + II + III)</t>
  </si>
  <si>
    <t>QUADRO RESUMO - ENCARGOS SOCIAIS E TRABALHISTAS EFETIVOS</t>
  </si>
  <si>
    <t>Conta</t>
  </si>
  <si>
    <t>Total de Encargos Sociais e Trabalhistas (A)*</t>
  </si>
  <si>
    <t>Remuneração (B)</t>
  </si>
  <si>
    <t>Encargos Sociais e Trabalhistas Efetivos (C = A / B)</t>
  </si>
  <si>
    <t>* Submódulo 2.1 + Submódulo 2.2 + Módulo 3 + Submódulo 4.1</t>
  </si>
  <si>
    <t>LIMITES PARA CONTRATAÇÃO, CONFORME PORTARIAS SEGES/ME (em R$/m²)</t>
  </si>
  <si>
    <t>CUSTO MENSAL ESTIMADO</t>
  </si>
  <si>
    <t>LIMITE MÍNIMO</t>
  </si>
  <si>
    <t>LIMITE MÁXIMO</t>
  </si>
  <si>
    <t>LIMITES PARA CONTRATAÇÃO, CONFORME ÁREA A SER LIMPA (em R$)</t>
  </si>
  <si>
    <t>Valor total do serviço</t>
  </si>
  <si>
    <t>Valor máximo a ser contratado (com base na área a ser limpa)</t>
  </si>
  <si>
    <t>O valor está em conformidade com o limite máximo a ser contratado com base na área?</t>
  </si>
  <si>
    <t>VALOR TOTAL</t>
  </si>
  <si>
    <t>Conforme produtividades previstas na Portaria nº 7, de 13 de abril de 2015.</t>
  </si>
  <si>
    <t>Atualizado em 06/11/2019</t>
  </si>
  <si>
    <t>UF</t>
  </si>
  <si>
    <t>A PARTIR DE</t>
  </si>
  <si>
    <t>ÁREA
INTERNA</t>
  </si>
  <si>
    <t>ÁREA
EXTERNA
(1200 M²)</t>
  </si>
  <si>
    <t>ESQUADRIA EXTERNA
(220 M²)</t>
  </si>
  <si>
    <t>FACHADA ENVIDRAÇADA
(110 M²)</t>
  </si>
  <si>
    <t>M²</t>
  </si>
  <si>
    <t>AC</t>
  </si>
  <si>
    <t>AL</t>
  </si>
  <si>
    <t>AM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</si>
  <si>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</si>
  <si>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</si>
  <si>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</si>
  <si>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</si>
  <si>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</si>
  <si>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</si>
  <si>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</si>
  <si>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</si>
  <si>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</si>
  <si>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</si>
  <si>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</si>
  <si>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</si>
  <si>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</si>
  <si>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</si>
  <si>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</si>
  <si>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</si>
  <si>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</si>
  <si>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</si>
  <si>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</si>
  <si>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</si>
  <si>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</si>
  <si>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</si>
  <si>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</si>
  <si>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MÉDIA</t>
  </si>
  <si>
    <t>MENOR VALOR</t>
  </si>
  <si>
    <t>MAIOR VALOR</t>
  </si>
  <si>
    <t>Conforme produtividades previstas na Portaria nº 213, de 25 de setembro de 2017.</t>
  </si>
  <si>
    <t>ÁREA INTERNA</t>
  </si>
  <si>
    <t>ÁREA EXTERNA</t>
  </si>
  <si>
    <t>ESQUADRIA EXTERNA</t>
  </si>
  <si>
    <t>FACHADA ENVIDRAÇADA</t>
  </si>
  <si>
    <t xml:space="preserve"> M²</t>
  </si>
  <si>
    <t xml:space="preserve"> MÍN.</t>
  </si>
  <si>
    <t xml:space="preserve"> MÁX.</t>
  </si>
  <si>
    <t>QTDE ESTIMADA DE SERVENTES</t>
  </si>
  <si>
    <t>PRODUTIVIDADE (1/m²)</t>
  </si>
  <si>
    <t>QTDE ESTIMADA</t>
  </si>
  <si>
    <t>(D)</t>
  </si>
  <si>
    <t>E = (C /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</si>
</sst>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/m/yyyy"/>
    <numFmt numFmtId="165" formatCode="_-* #,##0.00_-;\-* #,##0.00_-;_-* \-??_-;_-@_-"/>
    <numFmt numFmtId="166" formatCode="#,##0.00_);\(#,##0.00\)"/>
    <numFmt numFmtId="167" formatCode="#,##0_);\(#,##0\)"/>
    <numFmt numFmtId="168" formatCode="#,##0.0"/>
    <numFmt numFmtId="169" formatCode="#,##0.00_ ;\-#,##0.00\ "/>
    <numFmt numFmtId="170" formatCode="0.000000000"/>
    <numFmt numFmtId="171" formatCode="0.000000"/>
    <numFmt numFmtId="172" formatCode="&quot;R$ &quot;#,##0.00"/>
    <numFmt numFmtId="173" formatCode="&quot;R$ &quot;#,##0.00;[Red]&quot;-R$ &quot;#,##0.00"/>
    <numFmt numFmtId="174" formatCode="dd/mm/yy;@"/>
  </numFmts>
  <fonts count="36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b/>
      <sz val="18"/>
      <color rgb="FF953735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0"/>
      <color rgb="FFFFFFFF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sz val="10"/>
      <color rgb="FFFFFFFF"/>
      <name val="Segoe UI Light"/>
      <family val="2"/>
      <charset val="1"/>
    </font>
    <font>
      <sz val="11"/>
      <color rgb="FFFFFFFF"/>
      <name val="Segoe UI Light"/>
      <family val="2"/>
      <charset val="1"/>
    </font>
    <font>
      <b/>
      <sz val="10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  <font>
      <sz val="10"/>
      <name val="Segoe UI Light"/>
      <family val="2"/>
      <charset val="1"/>
    </font>
    <font>
      <sz val="9"/>
      <name val="Segoe UI Light"/>
      <family val="2"/>
      <charset val="1"/>
    </font>
    <font>
      <b/>
      <sz val="14"/>
      <color rgb="FF984807"/>
      <name val="Segoe UI Light"/>
      <family val="2"/>
      <charset val="1"/>
    </font>
    <font>
      <b/>
      <sz val="12"/>
      <color rgb="FF984807"/>
      <name val="Segoe UI Light"/>
      <family val="2"/>
      <charset val="1"/>
    </font>
    <font>
      <sz val="10"/>
      <color rgb="FFFF0000"/>
      <name val="Segoe UI Light"/>
      <family val="2"/>
      <charset val="1"/>
    </font>
    <font>
      <b/>
      <sz val="11"/>
      <color rgb="FF984807"/>
      <name val="Segoe UI Light"/>
      <family val="2"/>
      <charset val="1"/>
    </font>
    <font>
      <sz val="10"/>
      <color rgb="FF984807"/>
      <name val="Segoe UI Light"/>
      <family val="2"/>
      <charset val="1"/>
    </font>
    <font>
      <sz val="8"/>
      <color rgb="FF984807"/>
      <name val="Segoe UI Light"/>
      <family val="2"/>
      <charset val="1"/>
    </font>
    <font>
      <b/>
      <sz val="14"/>
      <name val="Segoe UI Light"/>
      <family val="2"/>
      <charset val="1"/>
    </font>
    <font>
      <b/>
      <i/>
      <sz val="10"/>
      <name val="Segoe UI Light"/>
      <family val="2"/>
      <charset val="1"/>
    </font>
    <font>
      <b/>
      <i/>
      <sz val="10"/>
      <color rgb="FF984807"/>
      <name val="Segoe UI Light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84807"/>
      </patternFill>
    </fill>
    <fill>
      <patternFill patternType="solid">
        <fgColor rgb="FFFCD5B5"/>
        <bgColor rgb="FFFDEADA"/>
      </patternFill>
    </fill>
    <fill>
      <patternFill patternType="solid">
        <fgColor rgb="FFFAC090"/>
        <bgColor rgb="FFFCD5B5"/>
      </patternFill>
    </fill>
  </fills>
  <borders count="20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/>
      <right/>
      <top/>
      <bottom style="thin">
        <color rgb="FFF2F2F2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/>
      <top/>
      <bottom/>
      <diagonal/>
    </border>
    <border>
      <left style="thin">
        <color rgb="FFF2F2F2"/>
      </left>
      <right style="thin">
        <color rgb="FFD3D3D3"/>
      </right>
      <top style="thin">
        <color rgb="FFF2F2F2"/>
      </top>
      <bottom style="thin">
        <color rgb="FFF2F2F2"/>
      </bottom>
      <diagonal/>
    </border>
    <border>
      <left style="thin">
        <color rgb="FFD3D3D3"/>
      </left>
      <right style="thin">
        <color rgb="FFD3D3D3"/>
      </right>
      <top style="thin">
        <color rgb="FFF2F2F2"/>
      </top>
      <bottom style="thin">
        <color rgb="FFD3D3D3"/>
      </bottom>
      <diagonal/>
    </border>
    <border>
      <left style="thin">
        <color rgb="FFD3D3D3"/>
      </left>
      <right/>
      <top style="thin">
        <color rgb="FFF2F2F2"/>
      </top>
      <bottom style="thin">
        <color rgb="FFD3D3D3"/>
      </bottom>
      <diagonal/>
    </border>
    <border>
      <left style="medium">
        <color rgb="FFE8E7E7"/>
      </left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/>
      <right style="medium">
        <color rgb="FFE8E7E7"/>
      </right>
      <top style="medium">
        <color rgb="FFE8E7E7"/>
      </top>
      <bottom style="medium">
        <color rgb="FFE8E7E7"/>
      </bottom>
      <diagonal/>
    </border>
  </borders>
  <cellStyleXfs count="2">
    <xf numFmtId="0" fontId="0" fillId="0" borderId="0"/>
    <xf numFmtId="165" fontId="35" fillId="0" borderId="0" applyBorder="0" applyProtection="0"/>
  </cellStyleXfs>
  <cellXfs count="283">
    <xf numFmtId="0" fontId="0" fillId="0" borderId="0" xfId="0"/>
    <xf numFmtId="0" fontId="1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</xf>
    <xf numFmtId="0" fontId="7" fillId="5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left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left"/>
    </xf>
    <xf numFmtId="0" fontId="6" fillId="5" borderId="2" xfId="0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2" fillId="4" borderId="2" xfId="0" applyFont="1" applyFill="1" applyBorder="1" applyAlignment="1" applyProtection="1">
      <alignment horizontal="right"/>
    </xf>
    <xf numFmtId="164" fontId="2" fillId="3" borderId="3" xfId="0" applyNumberFormat="1" applyFont="1" applyFill="1" applyBorder="1" applyAlignment="1" applyProtection="1">
      <protection locked="0"/>
    </xf>
    <xf numFmtId="0" fontId="4" fillId="2" borderId="0" xfId="0" applyFont="1" applyFill="1" applyProtection="1"/>
    <xf numFmtId="0" fontId="6" fillId="5" borderId="4" xfId="0" applyFont="1" applyFill="1" applyBorder="1" applyAlignment="1" applyProtection="1">
      <alignment vertical="center" wrapText="1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Protection="1"/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9" fillId="5" borderId="1" xfId="0" applyFont="1" applyFill="1" applyBorder="1" applyAlignment="1" applyProtection="1">
      <alignment vertical="center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1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49" fontId="1" fillId="6" borderId="2" xfId="0" applyNumberFormat="1" applyFont="1" applyFill="1" applyBorder="1" applyAlignment="1" applyProtection="1">
      <alignment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4" fontId="1" fillId="3" borderId="2" xfId="0" applyNumberFormat="1" applyFont="1" applyFill="1" applyBorder="1" applyAlignment="1" applyProtection="1">
      <alignment vertical="center" wrapText="1"/>
      <protection locked="0"/>
    </xf>
    <xf numFmtId="49" fontId="1" fillId="4" borderId="2" xfId="0" applyNumberFormat="1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/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Protection="1"/>
    <xf numFmtId="0" fontId="12" fillId="2" borderId="0" xfId="0" applyFont="1" applyFill="1" applyAlignment="1" applyProtection="1">
      <alignment horizontal="left"/>
    </xf>
    <xf numFmtId="166" fontId="1" fillId="2" borderId="0" xfId="0" applyNumberFormat="1" applyFont="1" applyFill="1" applyBorder="1" applyAlignment="1" applyProtection="1">
      <alignment horizontal="right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0" xfId="0" applyFont="1" applyFill="1" applyProtection="1"/>
    <xf numFmtId="166" fontId="1" fillId="2" borderId="0" xfId="0" applyNumberFormat="1" applyFont="1" applyFill="1" applyAlignment="1" applyProtection="1">
      <alignment horizontal="center"/>
    </xf>
    <xf numFmtId="0" fontId="7" fillId="5" borderId="4" xfId="0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/>
    </xf>
    <xf numFmtId="167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166" fontId="8" fillId="2" borderId="0" xfId="0" applyNumberFormat="1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/>
    </xf>
    <xf numFmtId="166" fontId="1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0" xfId="0" applyFont="1" applyFill="1" applyAlignment="1" applyProtection="1">
      <alignment wrapText="1"/>
    </xf>
    <xf numFmtId="0" fontId="13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166" fontId="1" fillId="3" borderId="1" xfId="0" applyNumberFormat="1" applyFont="1" applyFill="1" applyBorder="1" applyAlignment="1" applyProtection="1">
      <alignment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 wrapText="1"/>
    </xf>
    <xf numFmtId="166" fontId="16" fillId="2" borderId="0" xfId="0" applyNumberFormat="1" applyFont="1" applyFill="1" applyBorder="1" applyAlignment="1" applyProtection="1">
      <alignment horizontal="center" vertical="center" wrapText="1"/>
    </xf>
    <xf numFmtId="3" fontId="1" fillId="6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168" fontId="1" fillId="4" borderId="1" xfId="0" applyNumberFormat="1" applyFont="1" applyFill="1" applyBorder="1" applyAlignment="1" applyProtection="1">
      <alignment horizontal="right" vertical="center" wrapText="1"/>
    </xf>
    <xf numFmtId="167" fontId="1" fillId="4" borderId="1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right" vertical="center" wrapText="1"/>
    </xf>
    <xf numFmtId="166" fontId="1" fillId="4" borderId="1" xfId="0" applyNumberFormat="1" applyFont="1" applyFill="1" applyBorder="1" applyAlignment="1" applyProtection="1">
      <alignment horizontal="right" vertical="center" wrapText="1"/>
    </xf>
    <xf numFmtId="167" fontId="1" fillId="6" borderId="1" xfId="0" applyNumberFormat="1" applyFont="1" applyFill="1" applyBorder="1" applyAlignment="1" applyProtection="1">
      <alignment horizontal="right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Protection="1"/>
    <xf numFmtId="2" fontId="1" fillId="4" borderId="1" xfId="0" applyNumberFormat="1" applyFont="1" applyFill="1" applyBorder="1" applyAlignment="1" applyProtection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 wrapText="1"/>
    </xf>
    <xf numFmtId="2" fontId="7" fillId="5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164" fontId="2" fillId="4" borderId="2" xfId="0" applyNumberFormat="1" applyFont="1" applyFill="1" applyBorder="1" applyAlignment="1" applyProtection="1">
      <alignment horizontal="right"/>
    </xf>
    <xf numFmtId="164" fontId="2" fillId="4" borderId="2" xfId="0" applyNumberFormat="1" applyFont="1" applyFill="1" applyBorder="1" applyAlignment="1" applyProtection="1"/>
    <xf numFmtId="2" fontId="1" fillId="4" borderId="1" xfId="0" applyNumberFormat="1" applyFont="1" applyFill="1" applyBorder="1" applyAlignment="1" applyProtection="1">
      <alignment horizontal="center"/>
    </xf>
    <xf numFmtId="164" fontId="1" fillId="6" borderId="1" xfId="0" applyNumberFormat="1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0" fontId="1" fillId="6" borderId="1" xfId="0" applyFont="1" applyFill="1" applyBorder="1" applyAlignment="1" applyProtection="1"/>
    <xf numFmtId="164" fontId="1" fillId="4" borderId="6" xfId="0" applyNumberFormat="1" applyFont="1" applyFill="1" applyBorder="1" applyAlignment="1" applyProtection="1">
      <alignment horizontal="center"/>
    </xf>
    <xf numFmtId="0" fontId="16" fillId="2" borderId="0" xfId="0" applyFont="1" applyFill="1" applyProtection="1"/>
    <xf numFmtId="4" fontId="1" fillId="6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4" fontId="7" fillId="5" borderId="1" xfId="0" applyNumberFormat="1" applyFont="1" applyFill="1" applyBorder="1" applyAlignment="1" applyProtection="1">
      <alignment horizontal="right" vertical="center" wrapText="1"/>
    </xf>
    <xf numFmtId="4" fontId="7" fillId="5" borderId="1" xfId="0" applyNumberFormat="1" applyFont="1" applyFill="1" applyBorder="1" applyAlignment="1" applyProtection="1">
      <alignment horizontal="right"/>
    </xf>
    <xf numFmtId="4" fontId="7" fillId="5" borderId="1" xfId="0" applyNumberFormat="1" applyFont="1" applyFill="1" applyBorder="1" applyAlignment="1" applyProtection="1">
      <alignment horizontal="right" vertical="center"/>
    </xf>
    <xf numFmtId="169" fontId="1" fillId="4" borderId="1" xfId="0" applyNumberFormat="1" applyFont="1" applyFill="1" applyBorder="1" applyAlignment="1" applyProtection="1">
      <alignment horizontal="center" vertical="center" wrapText="1"/>
    </xf>
    <xf numFmtId="166" fontId="1" fillId="6" borderId="8" xfId="0" applyNumberFormat="1" applyFont="1" applyFill="1" applyBorder="1" applyAlignment="1" applyProtection="1">
      <alignment horizontal="right" vertical="center" wrapText="1"/>
    </xf>
    <xf numFmtId="166" fontId="1" fillId="4" borderId="8" xfId="0" applyNumberFormat="1" applyFont="1" applyFill="1" applyBorder="1" applyAlignment="1" applyProtection="1">
      <alignment horizontal="right" vertical="center" wrapText="1"/>
    </xf>
    <xf numFmtId="4" fontId="7" fillId="5" borderId="8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center" vertical="center" wrapText="1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166" fontId="19" fillId="4" borderId="1" xfId="0" applyNumberFormat="1" applyFont="1" applyFill="1" applyBorder="1" applyAlignment="1" applyProtection="1">
      <alignment horizontal="center" vertical="center" wrapText="1"/>
    </xf>
    <xf numFmtId="166" fontId="19" fillId="4" borderId="1" xfId="0" applyNumberFormat="1" applyFont="1" applyFill="1" applyBorder="1" applyAlignment="1" applyProtection="1">
      <alignment horizontal="right" vertical="center" wrapText="1"/>
    </xf>
    <xf numFmtId="166" fontId="19" fillId="6" borderId="1" xfId="0" applyNumberFormat="1" applyFont="1" applyFill="1" applyBorder="1" applyAlignment="1" applyProtection="1">
      <alignment horizontal="center" vertical="center" wrapText="1"/>
    </xf>
    <xf numFmtId="166" fontId="19" fillId="6" borderId="1" xfId="0" applyNumberFormat="1" applyFont="1" applyFill="1" applyBorder="1" applyAlignment="1" applyProtection="1">
      <alignment horizontal="right" vertical="center" wrapText="1"/>
    </xf>
    <xf numFmtId="166" fontId="7" fillId="5" borderId="1" xfId="0" applyNumberFormat="1" applyFont="1" applyFill="1" applyBorder="1" applyAlignment="1" applyProtection="1">
      <alignment horizontal="right" vertical="center" wrapText="1"/>
    </xf>
    <xf numFmtId="0" fontId="20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166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164" fontId="1" fillId="4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21" fillId="2" borderId="0" xfId="0" applyFont="1" applyFill="1" applyAlignment="1" applyProtection="1">
      <alignment vertical="center"/>
    </xf>
    <xf numFmtId="0" fontId="2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horizontal="center" vertical="center"/>
    </xf>
    <xf numFmtId="0" fontId="21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0" fillId="5" borderId="1" xfId="0" applyFont="1" applyFill="1" applyBorder="1" applyAlignment="1" applyProtection="1">
      <alignment vertical="center"/>
    </xf>
    <xf numFmtId="170" fontId="1" fillId="6" borderId="1" xfId="0" applyNumberFormat="1" applyFont="1" applyFill="1" applyBorder="1" applyAlignment="1" applyProtection="1">
      <alignment horizontal="center" vertical="center"/>
    </xf>
    <xf numFmtId="4" fontId="1" fillId="6" borderId="1" xfId="0" applyNumberFormat="1" applyFont="1" applyFill="1" applyBorder="1" applyAlignment="1" applyProtection="1">
      <alignment vertical="center"/>
    </xf>
    <xf numFmtId="2" fontId="1" fillId="6" borderId="1" xfId="0" applyNumberFormat="1" applyFont="1" applyFill="1" applyBorder="1" applyAlignment="1" applyProtection="1">
      <alignment vertical="center"/>
    </xf>
    <xf numFmtId="170" fontId="1" fillId="4" borderId="1" xfId="0" applyNumberFormat="1" applyFont="1" applyFill="1" applyBorder="1" applyAlignment="1" applyProtection="1">
      <alignment horizontal="center" vertical="center"/>
    </xf>
    <xf numFmtId="4" fontId="1" fillId="4" borderId="1" xfId="0" applyNumberFormat="1" applyFont="1" applyFill="1" applyBorder="1" applyAlignment="1" applyProtection="1">
      <alignment vertical="center"/>
    </xf>
    <xf numFmtId="2" fontId="1" fillId="4" borderId="1" xfId="0" applyNumberFormat="1" applyFont="1" applyFill="1" applyBorder="1" applyAlignment="1" applyProtection="1">
      <alignment vertical="center"/>
    </xf>
    <xf numFmtId="0" fontId="7" fillId="5" borderId="1" xfId="0" applyFont="1" applyFill="1" applyBorder="1" applyAlignment="1" applyProtection="1">
      <alignment vertical="center"/>
    </xf>
    <xf numFmtId="2" fontId="7" fillId="5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0" fontId="27" fillId="2" borderId="0" xfId="0" applyFont="1" applyFill="1" applyAlignment="1" applyProtection="1">
      <alignment vertical="center"/>
    </xf>
    <xf numFmtId="2" fontId="8" fillId="2" borderId="0" xfId="0" applyNumberFormat="1" applyFont="1" applyFill="1" applyBorder="1" applyAlignment="1" applyProtection="1">
      <alignment vertical="center"/>
    </xf>
    <xf numFmtId="3" fontId="1" fillId="6" borderId="1" xfId="0" applyNumberFormat="1" applyFont="1" applyFill="1" applyBorder="1" applyAlignment="1" applyProtection="1">
      <alignment horizontal="center" vertical="center"/>
    </xf>
    <xf numFmtId="171" fontId="1" fillId="6" borderId="1" xfId="0" applyNumberFormat="1" applyFont="1" applyFill="1" applyBorder="1" applyAlignment="1" applyProtection="1">
      <alignment horizontal="center" vertical="center"/>
    </xf>
    <xf numFmtId="3" fontId="1" fillId="4" borderId="1" xfId="0" applyNumberFormat="1" applyFont="1" applyFill="1" applyBorder="1" applyAlignment="1" applyProtection="1">
      <alignment horizontal="center" vertical="center"/>
    </xf>
    <xf numFmtId="171" fontId="1" fillId="4" borderId="1" xfId="0" applyNumberFormat="1" applyFont="1" applyFill="1" applyBorder="1" applyAlignment="1" applyProtection="1">
      <alignment horizontal="center" vertical="center"/>
    </xf>
    <xf numFmtId="4" fontId="1" fillId="6" borderId="1" xfId="0" applyNumberFormat="1" applyFont="1" applyFill="1" applyBorder="1" applyAlignment="1" applyProtection="1">
      <alignment horizontal="right" vertical="center"/>
    </xf>
    <xf numFmtId="4" fontId="1" fillId="4" borderId="1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vertical="center" wrapText="1"/>
    </xf>
    <xf numFmtId="0" fontId="28" fillId="2" borderId="0" xfId="0" applyFont="1" applyFill="1" applyAlignment="1" applyProtection="1">
      <alignment vertical="center"/>
    </xf>
    <xf numFmtId="0" fontId="29" fillId="2" borderId="0" xfId="0" applyFont="1" applyFill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 applyProtection="1">
      <alignment horizontal="center" vertical="center"/>
    </xf>
    <xf numFmtId="2" fontId="1" fillId="6" borderId="1" xfId="0" applyNumberFormat="1" applyFont="1" applyFill="1" applyBorder="1" applyAlignment="1" applyProtection="1">
      <alignment horizontal="center" vertical="center"/>
    </xf>
    <xf numFmtId="4" fontId="1" fillId="4" borderId="1" xfId="0" applyNumberFormat="1" applyFont="1" applyFill="1" applyBorder="1" applyAlignment="1" applyProtection="1">
      <alignment horizontal="center" vertical="center"/>
    </xf>
    <xf numFmtId="4" fontId="7" fillId="5" borderId="1" xfId="1" applyNumberFormat="1" applyFont="1" applyFill="1" applyBorder="1" applyAlignment="1" applyProtection="1">
      <alignment vertical="center"/>
    </xf>
    <xf numFmtId="0" fontId="21" fillId="2" borderId="0" xfId="0" applyFont="1" applyFill="1" applyProtection="1"/>
    <xf numFmtId="3" fontId="1" fillId="7" borderId="1" xfId="0" applyNumberFormat="1" applyFont="1" applyFill="1" applyBorder="1" applyAlignment="1" applyProtection="1">
      <alignment horizontal="left" vertical="center" wrapText="1"/>
    </xf>
    <xf numFmtId="3" fontId="1" fillId="7" borderId="1" xfId="0" applyNumberFormat="1" applyFont="1" applyFill="1" applyBorder="1" applyAlignment="1" applyProtection="1">
      <alignment horizontal="center" vertical="center" wrapText="1"/>
    </xf>
    <xf numFmtId="4" fontId="1" fillId="7" borderId="1" xfId="0" applyNumberFormat="1" applyFont="1" applyFill="1" applyBorder="1" applyAlignment="1" applyProtection="1">
      <alignment vertical="center" wrapText="1"/>
    </xf>
    <xf numFmtId="4" fontId="1" fillId="7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left" vertical="center" wrapText="1"/>
    </xf>
    <xf numFmtId="3" fontId="1" fillId="4" borderId="1" xfId="0" applyNumberFormat="1" applyFont="1" applyFill="1" applyBorder="1" applyAlignment="1" applyProtection="1">
      <alignment horizontal="center" vertical="center" wrapText="1"/>
    </xf>
    <xf numFmtId="4" fontId="1" fillId="4" borderId="1" xfId="0" applyNumberFormat="1" applyFont="1" applyFill="1" applyBorder="1" applyAlignment="1" applyProtection="1">
      <alignment vertical="center" wrapText="1"/>
    </xf>
    <xf numFmtId="3" fontId="7" fillId="5" borderId="1" xfId="0" applyNumberFormat="1" applyFont="1" applyFill="1" applyBorder="1" applyAlignment="1" applyProtection="1">
      <alignment horizontal="center" vertical="center" wrapText="1"/>
    </xf>
    <xf numFmtId="4" fontId="7" fillId="5" borderId="1" xfId="0" applyNumberFormat="1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vertical="center"/>
    </xf>
    <xf numFmtId="172" fontId="1" fillId="7" borderId="1" xfId="0" applyNumberFormat="1" applyFont="1" applyFill="1" applyBorder="1" applyAlignment="1" applyProtection="1">
      <alignment horizontal="right" vertical="center" wrapText="1"/>
    </xf>
    <xf numFmtId="172" fontId="1" fillId="4" borderId="1" xfId="0" applyNumberFormat="1" applyFont="1" applyFill="1" applyBorder="1" applyAlignment="1" applyProtection="1">
      <alignment horizontal="right" vertical="center" wrapText="1"/>
    </xf>
    <xf numFmtId="10" fontId="7" fillId="5" borderId="1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Protection="1"/>
    <xf numFmtId="10" fontId="7" fillId="5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4" fillId="2" borderId="0" xfId="0" applyFont="1" applyFill="1" applyAlignment="1">
      <alignment vertical="center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7" fillId="5" borderId="12" xfId="0" applyFont="1" applyFill="1" applyBorder="1" applyAlignment="1" applyProtection="1">
      <alignment vertical="center" wrapText="1"/>
    </xf>
    <xf numFmtId="0" fontId="7" fillId="5" borderId="13" xfId="0" applyFont="1" applyFill="1" applyBorder="1" applyAlignment="1" applyProtection="1">
      <alignment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 applyProtection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center" vertical="center" wrapText="1"/>
    </xf>
    <xf numFmtId="173" fontId="32" fillId="0" borderId="0" xfId="0" applyNumberFormat="1" applyFont="1" applyAlignment="1">
      <alignment vertical="center"/>
    </xf>
    <xf numFmtId="173" fontId="0" fillId="0" borderId="0" xfId="0" applyNumberFormat="1" applyAlignment="1">
      <alignment vertical="center"/>
    </xf>
    <xf numFmtId="173" fontId="32" fillId="0" borderId="0" xfId="0" applyNumberFormat="1" applyFont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righ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7" fillId="5" borderId="4" xfId="0" applyFont="1" applyFill="1" applyBorder="1" applyAlignment="1" applyProtection="1">
      <alignment horizontal="left" vertical="center" wrapText="1"/>
    </xf>
    <xf numFmtId="174" fontId="7" fillId="5" borderId="1" xfId="0" applyNumberFormat="1" applyFont="1" applyFill="1" applyBorder="1" applyAlignment="1">
      <alignment horizontal="center" vertical="center"/>
    </xf>
    <xf numFmtId="173" fontId="33" fillId="2" borderId="18" xfId="0" applyNumberFormat="1" applyFont="1" applyFill="1" applyBorder="1" applyAlignment="1">
      <alignment horizontal="center" vertical="center" wrapText="1"/>
    </xf>
    <xf numFmtId="173" fontId="34" fillId="2" borderId="19" xfId="0" applyNumberFormat="1" applyFont="1" applyFill="1" applyBorder="1" applyAlignment="1">
      <alignment horizontal="center" vertical="center" wrapText="1"/>
    </xf>
    <xf numFmtId="173" fontId="33" fillId="2" borderId="19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10" fillId="5" borderId="1" xfId="0" applyFont="1" applyFill="1" applyBorder="1" applyAlignment="1">
      <alignment vertical="center"/>
    </xf>
    <xf numFmtId="4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168" fontId="1" fillId="6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68" fontId="1" fillId="4" borderId="1" xfId="0" applyNumberFormat="1" applyFont="1" applyFill="1" applyBorder="1" applyAlignment="1">
      <alignment horizontal="center" vertical="center"/>
    </xf>
    <xf numFmtId="3" fontId="7" fillId="5" borderId="1" xfId="1" applyNumberFormat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left" vertical="center" wrapText="1"/>
    </xf>
    <xf numFmtId="0" fontId="8" fillId="6" borderId="6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6" borderId="7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left" vertical="center" wrapText="1"/>
    </xf>
    <xf numFmtId="166" fontId="1" fillId="4" borderId="1" xfId="0" applyNumberFormat="1" applyFont="1" applyFill="1" applyBorder="1" applyAlignment="1" applyProtection="1">
      <alignment horizontal="left" vertical="center" wrapText="1"/>
    </xf>
    <xf numFmtId="166" fontId="1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left" vertical="center"/>
    </xf>
    <xf numFmtId="166" fontId="1" fillId="6" borderId="1" xfId="0" applyNumberFormat="1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 wrapText="1"/>
    </xf>
    <xf numFmtId="0" fontId="1" fillId="6" borderId="8" xfId="0" applyFont="1" applyFill="1" applyBorder="1" applyAlignment="1" applyProtection="1">
      <alignment horizontal="left" vertical="center" wrapText="1"/>
    </xf>
    <xf numFmtId="0" fontId="1" fillId="4" borderId="8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12" fillId="2" borderId="9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</xf>
    <xf numFmtId="0" fontId="2" fillId="6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right"/>
    </xf>
    <xf numFmtId="0" fontId="17" fillId="0" borderId="0" xfId="0" applyFont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/>
    </xf>
    <xf numFmtId="0" fontId="1" fillId="4" borderId="6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justify" vertical="center" wrapText="1"/>
    </xf>
    <xf numFmtId="4" fontId="1" fillId="4" borderId="1" xfId="0" applyNumberFormat="1" applyFont="1" applyFill="1" applyBorder="1" applyAlignment="1" applyProtection="1">
      <alignment horizontal="left" vertical="center" wrapText="1"/>
    </xf>
    <xf numFmtId="4" fontId="1" fillId="4" borderId="8" xfId="0" applyNumberFormat="1" applyFont="1" applyFill="1" applyBorder="1" applyAlignment="1" applyProtection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 wrapText="1" indent="1"/>
    </xf>
    <xf numFmtId="0" fontId="19" fillId="6" borderId="1" xfId="0" applyFont="1" applyFill="1" applyBorder="1" applyAlignment="1" applyProtection="1">
      <alignment horizontal="left" vertical="center" wrapText="1" indent="1"/>
    </xf>
    <xf numFmtId="0" fontId="2" fillId="6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justify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horizontal="left" vertical="center"/>
    </xf>
    <xf numFmtId="0" fontId="20" fillId="2" borderId="1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left" vertical="center" wrapText="1"/>
    </xf>
    <xf numFmtId="0" fontId="20" fillId="2" borderId="1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3" fontId="1" fillId="7" borderId="1" xfId="0" applyNumberFormat="1" applyFont="1" applyFill="1" applyBorder="1" applyAlignment="1" applyProtection="1">
      <alignment horizontal="left" vertical="center" wrapText="1"/>
    </xf>
    <xf numFmtId="10" fontId="7" fillId="5" borderId="1" xfId="0" applyNumberFormat="1" applyFont="1" applyFill="1" applyBorder="1" applyAlignment="1" applyProtection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left" vertical="center" wrapText="1"/>
    </xf>
    <xf numFmtId="4" fontId="7" fillId="5" borderId="1" xfId="0" applyNumberFormat="1" applyFont="1" applyFill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17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7E7"/>
      <rgbColor rgb="FFCCFFCC"/>
      <rgbColor rgb="FFFCD5B5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</xdr:col>
      <xdr:colOff>4680</xdr:colOff>
      <xdr:row>24</xdr:row>
      <xdr:rowOff>33480</xdr:rowOff>
    </xdr:to>
    <xdr:sp macro="" textlink="">
      <xdr:nvSpPr>
        <xdr:cNvPr id="2" name="CustomShape 1"/>
        <xdr:cNvSpPr/>
      </xdr:nvSpPr>
      <xdr:spPr>
        <a:xfrm>
          <a:off x="79200" y="4333680"/>
          <a:ext cx="468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4"/>
  <sheetViews>
    <sheetView tabSelected="1" topLeftCell="A4" zoomScale="90" zoomScaleNormal="90" workbookViewId="0">
      <selection activeCell="F44" sqref="F44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7109375" style="15" customWidth="1"/>
    <col min="5" max="5" width="12" style="15" customWidth="1"/>
    <col min="6" max="6" width="17" style="15" customWidth="1"/>
    <col min="7" max="7" width="9.140625" style="15" customWidth="1"/>
    <col min="8" max="8" width="20.7109375" style="15" customWidth="1"/>
    <col min="9" max="9" width="11.85546875" style="15" customWidth="1"/>
    <col min="10" max="10" width="11.5703125" style="15"/>
    <col min="11" max="11" width="12.140625" style="15" customWidth="1"/>
    <col min="12" max="12" width="13" style="15" customWidth="1"/>
    <col min="13" max="13" width="9.5703125" style="15" customWidth="1"/>
    <col min="14" max="14" width="12.5703125" style="15" customWidth="1"/>
    <col min="15" max="1025" width="9.140625" style="15" customWidth="1"/>
  </cols>
  <sheetData>
    <row r="1" spans="1:14" ht="20.25" customHeight="1" x14ac:dyDescent="0.35">
      <c r="B1" s="14" t="s">
        <v>0</v>
      </c>
      <c r="C1" s="14"/>
      <c r="D1" s="14"/>
      <c r="E1" s="14"/>
      <c r="F1" s="14"/>
      <c r="H1" s="13" t="s">
        <v>1</v>
      </c>
      <c r="I1" s="13"/>
      <c r="J1" s="13"/>
      <c r="K1" s="13"/>
      <c r="L1" s="13"/>
      <c r="M1" s="13"/>
      <c r="N1" s="13"/>
    </row>
    <row r="2" spans="1:14" ht="20.25" x14ac:dyDescent="0.35">
      <c r="B2" s="14" t="s">
        <v>2</v>
      </c>
      <c r="C2" s="14"/>
      <c r="D2" s="14"/>
      <c r="E2" s="16" t="s">
        <v>3</v>
      </c>
      <c r="F2" s="17">
        <v>43921</v>
      </c>
      <c r="H2" s="13"/>
      <c r="I2" s="13"/>
      <c r="J2" s="13"/>
      <c r="K2" s="13"/>
      <c r="L2" s="13"/>
      <c r="M2" s="13"/>
      <c r="N2" s="13"/>
    </row>
    <row r="3" spans="1:14" x14ac:dyDescent="0.3">
      <c r="B3" s="18"/>
      <c r="C3" s="18"/>
      <c r="D3" s="18"/>
      <c r="E3" s="18"/>
      <c r="F3" s="18"/>
      <c r="H3" s="13"/>
      <c r="I3" s="13"/>
      <c r="J3" s="13"/>
      <c r="K3" s="13"/>
      <c r="L3" s="13"/>
      <c r="M3" s="13"/>
      <c r="N3" s="13"/>
    </row>
    <row r="4" spans="1:14" s="18" customFormat="1" ht="25.5" customHeight="1" x14ac:dyDescent="0.5">
      <c r="B4" s="12" t="s">
        <v>4</v>
      </c>
      <c r="C4" s="12"/>
      <c r="D4" s="12"/>
      <c r="E4" s="12"/>
      <c r="F4" s="12"/>
      <c r="H4" s="11" t="s">
        <v>5</v>
      </c>
      <c r="I4" s="11"/>
      <c r="J4" s="11"/>
      <c r="K4" s="11"/>
      <c r="L4" s="11"/>
      <c r="M4" s="19" t="s">
        <v>6</v>
      </c>
      <c r="N4" s="20"/>
    </row>
    <row r="5" spans="1:14" s="18" customFormat="1" ht="15.95" customHeight="1" x14ac:dyDescent="0.3">
      <c r="B5" s="10" t="s">
        <v>7</v>
      </c>
      <c r="C5" s="10"/>
      <c r="D5" s="10"/>
      <c r="E5" s="10"/>
      <c r="F5" s="10"/>
      <c r="H5" s="9" t="s">
        <v>8</v>
      </c>
      <c r="I5" s="9"/>
      <c r="J5" s="9"/>
      <c r="K5" s="9"/>
      <c r="L5" s="9"/>
      <c r="M5" s="9"/>
      <c r="N5" s="9"/>
    </row>
    <row r="6" spans="1:14" s="18" customFormat="1" ht="15.95" customHeight="1" x14ac:dyDescent="0.3">
      <c r="B6" s="8" t="s">
        <v>9</v>
      </c>
      <c r="C6" s="8"/>
      <c r="D6" s="7" t="s">
        <v>10</v>
      </c>
      <c r="E6" s="7"/>
      <c r="F6" s="7"/>
      <c r="H6" s="6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16</v>
      </c>
      <c r="N6" s="9" t="s">
        <v>17</v>
      </c>
    </row>
    <row r="7" spans="1:14" s="18" customFormat="1" x14ac:dyDescent="0.3">
      <c r="B7" s="5" t="s">
        <v>18</v>
      </c>
      <c r="C7" s="5"/>
      <c r="D7" s="4" t="s">
        <v>19</v>
      </c>
      <c r="E7" s="4"/>
      <c r="F7" s="23" t="s">
        <v>20</v>
      </c>
      <c r="H7" s="6"/>
      <c r="I7" s="9"/>
      <c r="J7" s="9"/>
      <c r="K7" s="9"/>
      <c r="L7" s="9"/>
      <c r="M7" s="9"/>
      <c r="N7" s="9"/>
    </row>
    <row r="8" spans="1:14" s="18" customFormat="1" ht="15.75" customHeight="1" x14ac:dyDescent="0.3">
      <c r="B8" s="8" t="s">
        <v>21</v>
      </c>
      <c r="C8" s="8"/>
      <c r="D8" s="3" t="s">
        <v>22</v>
      </c>
      <c r="E8" s="3"/>
      <c r="F8" s="23" t="s">
        <v>23</v>
      </c>
      <c r="H8" s="6"/>
      <c r="I8" s="21" t="s">
        <v>24</v>
      </c>
      <c r="J8" s="21" t="s">
        <v>25</v>
      </c>
      <c r="K8" s="21" t="s">
        <v>26</v>
      </c>
      <c r="L8" s="21" t="s">
        <v>27</v>
      </c>
      <c r="M8" s="9"/>
      <c r="N8" s="9"/>
    </row>
    <row r="9" spans="1:14" s="24" customFormat="1" x14ac:dyDescent="0.3">
      <c r="C9" s="25"/>
      <c r="D9" s="26"/>
      <c r="E9" s="26"/>
      <c r="F9" s="27"/>
      <c r="H9" s="28" t="s">
        <v>28</v>
      </c>
      <c r="I9" s="29">
        <v>2098.6999999999998</v>
      </c>
      <c r="J9" s="30">
        <v>69.010000000000005</v>
      </c>
      <c r="K9" s="30"/>
      <c r="L9" s="31">
        <f>SUM(I9:K9)</f>
        <v>2167.71</v>
      </c>
      <c r="M9" s="32">
        <v>800</v>
      </c>
      <c r="N9" s="33"/>
    </row>
    <row r="10" spans="1:14" s="24" customFormat="1" ht="15.75" customHeight="1" x14ac:dyDescent="0.3">
      <c r="B10" s="10" t="s">
        <v>29</v>
      </c>
      <c r="C10" s="10"/>
      <c r="D10" s="10"/>
      <c r="E10" s="10"/>
      <c r="F10" s="10"/>
      <c r="H10" s="28" t="s">
        <v>30</v>
      </c>
      <c r="I10" s="29">
        <v>565</v>
      </c>
      <c r="J10" s="30">
        <v>420</v>
      </c>
      <c r="K10" s="30"/>
      <c r="L10" s="31">
        <f>SUM(I10:K10)</f>
        <v>985</v>
      </c>
      <c r="M10" s="32">
        <v>1800</v>
      </c>
      <c r="N10" s="33"/>
    </row>
    <row r="11" spans="1:14" s="18" customFormat="1" ht="18" customHeight="1" x14ac:dyDescent="0.3">
      <c r="B11" s="34" t="s">
        <v>31</v>
      </c>
      <c r="C11" s="8" t="s">
        <v>32</v>
      </c>
      <c r="D11" s="8"/>
      <c r="E11" s="8"/>
      <c r="F11" s="35" t="s">
        <v>22</v>
      </c>
      <c r="H11" s="28" t="s">
        <v>33</v>
      </c>
      <c r="I11" s="29">
        <v>369.37</v>
      </c>
      <c r="J11" s="30">
        <v>11.73</v>
      </c>
      <c r="K11" s="30"/>
      <c r="L11" s="31">
        <f>SUM(I11:K11)</f>
        <v>381.1</v>
      </c>
      <c r="M11" s="32">
        <v>300</v>
      </c>
      <c r="N11" s="36">
        <v>16</v>
      </c>
    </row>
    <row r="12" spans="1:14" s="18" customFormat="1" ht="15.95" customHeight="1" x14ac:dyDescent="0.15">
      <c r="B12" s="33" t="s">
        <v>34</v>
      </c>
      <c r="C12" s="37" t="s">
        <v>35</v>
      </c>
      <c r="D12" s="2" t="s">
        <v>36</v>
      </c>
      <c r="E12" s="2"/>
      <c r="F12" s="2"/>
      <c r="H12" s="28" t="s">
        <v>37</v>
      </c>
      <c r="I12" s="29">
        <v>160.16999999999999</v>
      </c>
      <c r="J12" s="30"/>
      <c r="K12" s="30"/>
      <c r="L12" s="31">
        <f>SUM(I12:K12)</f>
        <v>160.16999999999999</v>
      </c>
      <c r="M12" s="32">
        <v>130</v>
      </c>
      <c r="N12" s="36">
        <v>16</v>
      </c>
    </row>
    <row r="13" spans="1:14" s="18" customFormat="1" ht="15.95" customHeight="1" x14ac:dyDescent="0.3">
      <c r="B13" s="34" t="s">
        <v>38</v>
      </c>
      <c r="C13" s="8" t="s">
        <v>39</v>
      </c>
      <c r="D13" s="8"/>
      <c r="E13" s="8"/>
      <c r="F13" s="36" t="s">
        <v>40</v>
      </c>
      <c r="H13" s="28" t="s">
        <v>41</v>
      </c>
      <c r="I13" s="29"/>
      <c r="J13" s="30"/>
      <c r="K13" s="30"/>
      <c r="L13" s="31">
        <f>SUM(I13:K13)</f>
        <v>0</v>
      </c>
      <c r="M13" s="32"/>
      <c r="N13" s="33"/>
    </row>
    <row r="14" spans="1:14" s="18" customFormat="1" ht="16.5" customHeight="1" x14ac:dyDescent="0.3">
      <c r="B14" s="33" t="s">
        <v>42</v>
      </c>
      <c r="C14" s="1" t="s">
        <v>43</v>
      </c>
      <c r="D14" s="1"/>
      <c r="E14" s="1"/>
      <c r="F14" s="23" t="s">
        <v>44</v>
      </c>
      <c r="H14" s="21" t="s">
        <v>15</v>
      </c>
      <c r="I14" s="31">
        <f>SUM(I9:I13)</f>
        <v>3193.24</v>
      </c>
      <c r="J14" s="31">
        <f>SUM(J9:J13)</f>
        <v>500.74</v>
      </c>
      <c r="K14" s="31">
        <f>SUM(K9:K13)</f>
        <v>0</v>
      </c>
      <c r="L14" s="31">
        <f>SUM(L9:L12)</f>
        <v>3693.98</v>
      </c>
      <c r="M14" s="219"/>
      <c r="N14" s="219"/>
    </row>
    <row r="15" spans="1:14" s="18" customFormat="1" ht="15.95" customHeight="1" x14ac:dyDescent="0.3">
      <c r="B15" s="33" t="s">
        <v>45</v>
      </c>
      <c r="C15" s="8" t="s">
        <v>46</v>
      </c>
      <c r="D15" s="8"/>
      <c r="E15" s="8"/>
      <c r="F15" s="39">
        <v>12</v>
      </c>
      <c r="H15" s="220" t="s">
        <v>47</v>
      </c>
      <c r="I15" s="220"/>
      <c r="J15" s="220"/>
      <c r="K15" s="220"/>
      <c r="L15" s="220"/>
      <c r="M15" s="220"/>
      <c r="N15" s="40" t="str">
        <f>IF(QTDE_DE_ENC&gt;=1,QTDE_DE_SERV/QTDE_DE_ENC,"")</f>
        <v/>
      </c>
    </row>
    <row r="16" spans="1:14" s="18" customFormat="1" ht="15.95" customHeight="1" x14ac:dyDescent="0.3">
      <c r="A16" s="24"/>
      <c r="B16" s="24"/>
      <c r="C16" s="25"/>
      <c r="D16" s="26"/>
      <c r="E16" s="26"/>
      <c r="F16" s="27"/>
      <c r="H16" s="41"/>
      <c r="I16" s="41"/>
      <c r="J16" s="41"/>
      <c r="K16" s="41"/>
      <c r="L16" s="41"/>
      <c r="M16" s="42"/>
      <c r="N16" s="42"/>
    </row>
    <row r="17" spans="1:14" s="18" customFormat="1" ht="16.5" customHeight="1" x14ac:dyDescent="0.3">
      <c r="A17" s="24"/>
      <c r="B17" s="10" t="s">
        <v>48</v>
      </c>
      <c r="C17" s="10"/>
      <c r="D17" s="10"/>
      <c r="E17" s="10"/>
      <c r="F17" s="10"/>
      <c r="H17" s="6" t="s">
        <v>49</v>
      </c>
      <c r="I17" s="6"/>
      <c r="J17" s="6"/>
      <c r="K17" s="6"/>
      <c r="L17" s="6"/>
      <c r="M17" s="6"/>
      <c r="N17" s="6"/>
    </row>
    <row r="18" spans="1:14" s="43" customFormat="1" ht="32.25" customHeight="1" x14ac:dyDescent="0.2">
      <c r="B18" s="44" t="s">
        <v>50</v>
      </c>
      <c r="C18" s="33" t="s">
        <v>51</v>
      </c>
      <c r="D18" s="45" t="s">
        <v>52</v>
      </c>
      <c r="E18" s="46" t="s">
        <v>53</v>
      </c>
      <c r="F18" s="46" t="s">
        <v>54</v>
      </c>
      <c r="H18" s="221" t="s">
        <v>55</v>
      </c>
      <c r="I18" s="221"/>
      <c r="J18" s="221"/>
      <c r="K18" s="221"/>
      <c r="L18" s="221"/>
      <c r="M18" s="221"/>
      <c r="N18" s="221"/>
    </row>
    <row r="19" spans="1:14" s="18" customFormat="1" ht="16.5" customHeight="1" x14ac:dyDescent="0.3">
      <c r="B19" s="34" t="s">
        <v>56</v>
      </c>
      <c r="C19" s="47" t="s">
        <v>57</v>
      </c>
      <c r="D19" s="48"/>
      <c r="E19" s="49"/>
      <c r="F19" s="50"/>
      <c r="H19" s="222" t="s">
        <v>58</v>
      </c>
      <c r="I19" s="222"/>
      <c r="J19" s="222"/>
      <c r="K19" s="222"/>
      <c r="L19" s="222"/>
      <c r="M19" s="222"/>
      <c r="N19" s="222"/>
    </row>
    <row r="20" spans="1:14" s="18" customFormat="1" ht="16.5" customHeight="1" x14ac:dyDescent="0.3">
      <c r="B20" s="33" t="s">
        <v>59</v>
      </c>
      <c r="C20" s="51" t="s">
        <v>60</v>
      </c>
      <c r="D20" s="48" t="s">
        <v>61</v>
      </c>
      <c r="E20" s="52">
        <v>3</v>
      </c>
      <c r="F20" s="50">
        <v>1050.25</v>
      </c>
      <c r="H20" s="222"/>
      <c r="I20" s="222"/>
      <c r="J20" s="222"/>
      <c r="K20" s="222"/>
      <c r="L20" s="222"/>
      <c r="M20" s="222"/>
      <c r="N20" s="222"/>
    </row>
    <row r="21" spans="1:14" s="24" customFormat="1" ht="16.5" customHeight="1" x14ac:dyDescent="0.3">
      <c r="A21" s="18"/>
      <c r="B21" s="34" t="s">
        <v>62</v>
      </c>
      <c r="C21" s="47" t="s">
        <v>63</v>
      </c>
      <c r="D21" s="48"/>
      <c r="E21" s="49"/>
      <c r="F21" s="50"/>
      <c r="H21" s="223" t="s">
        <v>64</v>
      </c>
      <c r="I21" s="223"/>
      <c r="J21" s="223"/>
      <c r="K21" s="223"/>
      <c r="L21" s="223"/>
      <c r="M21" s="223"/>
      <c r="N21" s="223"/>
    </row>
    <row r="22" spans="1:14" s="18" customFormat="1" ht="15.95" customHeight="1" x14ac:dyDescent="0.3">
      <c r="B22" s="53"/>
      <c r="C22" s="53"/>
      <c r="D22" s="53"/>
      <c r="E22" s="53"/>
      <c r="F22" s="53"/>
      <c r="H22" s="223"/>
      <c r="I22" s="223"/>
      <c r="J22" s="223"/>
      <c r="K22" s="223"/>
      <c r="L22" s="223"/>
      <c r="M22" s="223"/>
      <c r="N22" s="223"/>
    </row>
    <row r="23" spans="1:14" s="18" customFormat="1" ht="15" customHeight="1" x14ac:dyDescent="0.3">
      <c r="B23" s="10" t="s">
        <v>65</v>
      </c>
      <c r="C23" s="10"/>
      <c r="D23" s="10"/>
      <c r="E23" s="10"/>
      <c r="F23" s="10"/>
      <c r="H23" s="222" t="s">
        <v>66</v>
      </c>
      <c r="I23" s="222"/>
      <c r="J23" s="222"/>
      <c r="K23" s="222"/>
      <c r="L23" s="222"/>
      <c r="M23" s="222"/>
      <c r="N23" s="222"/>
    </row>
    <row r="24" spans="1:14" s="18" customFormat="1" ht="15" customHeight="1" x14ac:dyDescent="0.3">
      <c r="B24" s="34">
        <v>1</v>
      </c>
      <c r="C24" s="8" t="s">
        <v>67</v>
      </c>
      <c r="D24" s="8"/>
      <c r="E24" s="224" t="s">
        <v>68</v>
      </c>
      <c r="F24" s="224"/>
      <c r="H24" s="222"/>
      <c r="I24" s="222"/>
      <c r="J24" s="222"/>
      <c r="K24" s="222"/>
      <c r="L24" s="222"/>
      <c r="M24" s="222"/>
      <c r="N24" s="222"/>
    </row>
    <row r="25" spans="1:14" s="18" customFormat="1" ht="15" customHeight="1" x14ac:dyDescent="0.3">
      <c r="A25" s="24"/>
      <c r="B25" s="34">
        <v>2</v>
      </c>
      <c r="C25" s="54" t="s">
        <v>69</v>
      </c>
      <c r="D25" s="225" t="s">
        <v>70</v>
      </c>
      <c r="E25" s="225"/>
      <c r="F25" s="225"/>
    </row>
    <row r="26" spans="1:14" s="18" customFormat="1" ht="15.95" customHeight="1" x14ac:dyDescent="0.3">
      <c r="B26" s="34">
        <v>3</v>
      </c>
      <c r="C26" s="8" t="s">
        <v>71</v>
      </c>
      <c r="D26" s="8"/>
      <c r="E26" s="8"/>
      <c r="F26" s="35">
        <v>43466</v>
      </c>
    </row>
    <row r="27" spans="1:14" s="18" customFormat="1" ht="15.95" customHeight="1" x14ac:dyDescent="0.3">
      <c r="B27" s="34">
        <v>4</v>
      </c>
      <c r="C27" s="5" t="s">
        <v>72</v>
      </c>
      <c r="D27" s="5"/>
      <c r="E27" s="5"/>
      <c r="F27" s="55">
        <v>1045</v>
      </c>
    </row>
    <row r="28" spans="1:14" s="18" customFormat="1" x14ac:dyDescent="0.3">
      <c r="B28" s="56"/>
      <c r="C28" s="57"/>
      <c r="D28" s="57"/>
      <c r="E28" s="57"/>
      <c r="F28" s="58"/>
      <c r="H28" s="15"/>
      <c r="I28" s="15"/>
      <c r="J28" s="15"/>
      <c r="K28" s="15"/>
      <c r="L28" s="15"/>
      <c r="M28" s="15"/>
      <c r="N28" s="15"/>
    </row>
    <row r="29" spans="1:14" s="18" customFormat="1" ht="25.5" x14ac:dyDescent="0.5">
      <c r="B29" s="59" t="s">
        <v>73</v>
      </c>
      <c r="C29" s="15"/>
      <c r="D29" s="15"/>
      <c r="E29" s="15"/>
      <c r="F29" s="15"/>
      <c r="H29" s="15"/>
      <c r="I29" s="15"/>
      <c r="J29" s="15"/>
      <c r="K29" s="15"/>
      <c r="L29" s="15"/>
      <c r="M29" s="15"/>
      <c r="N29" s="15"/>
    </row>
    <row r="30" spans="1:14" x14ac:dyDescent="0.3">
      <c r="B30" s="60" t="s">
        <v>74</v>
      </c>
      <c r="E30" s="61"/>
      <c r="F30" s="61"/>
    </row>
    <row r="31" spans="1:14" ht="16.5" customHeight="1" x14ac:dyDescent="0.3">
      <c r="B31" s="33">
        <v>1</v>
      </c>
      <c r="C31" s="226" t="s">
        <v>75</v>
      </c>
      <c r="D31" s="226"/>
      <c r="E31" s="226"/>
      <c r="F31" s="22" t="s">
        <v>76</v>
      </c>
    </row>
    <row r="32" spans="1:14" ht="16.5" customHeight="1" x14ac:dyDescent="0.3">
      <c r="B32" s="33" t="s">
        <v>31</v>
      </c>
      <c r="C32" s="227" t="s">
        <v>77</v>
      </c>
      <c r="D32" s="227"/>
      <c r="E32" s="227"/>
      <c r="F32" s="62">
        <v>0</v>
      </c>
    </row>
    <row r="33" spans="1:14" ht="16.5" customHeight="1" x14ac:dyDescent="0.3">
      <c r="B33" s="33" t="s">
        <v>34</v>
      </c>
      <c r="C33" s="228" t="s">
        <v>78</v>
      </c>
      <c r="D33" s="228"/>
      <c r="E33" s="228"/>
      <c r="F33" s="63"/>
    </row>
    <row r="34" spans="1:14" ht="16.5" customHeight="1" x14ac:dyDescent="0.3">
      <c r="B34" s="33" t="s">
        <v>38</v>
      </c>
      <c r="C34" s="228" t="s">
        <v>79</v>
      </c>
      <c r="D34" s="228"/>
      <c r="E34" s="228"/>
      <c r="F34" s="63"/>
      <c r="H34" s="64"/>
      <c r="I34" s="64"/>
      <c r="J34" s="64"/>
      <c r="K34" s="64"/>
      <c r="L34" s="64"/>
      <c r="M34" s="64"/>
      <c r="N34" s="64"/>
    </row>
    <row r="35" spans="1:14" ht="16.5" customHeight="1" x14ac:dyDescent="0.3">
      <c r="B35" s="33" t="s">
        <v>42</v>
      </c>
      <c r="C35" s="228" t="s">
        <v>80</v>
      </c>
      <c r="D35" s="228"/>
      <c r="E35" s="228"/>
      <c r="F35" s="63"/>
      <c r="H35" s="64"/>
      <c r="I35" s="64"/>
      <c r="J35" s="64"/>
      <c r="K35" s="64"/>
      <c r="L35" s="64"/>
      <c r="M35" s="64"/>
      <c r="N35" s="64"/>
    </row>
    <row r="36" spans="1:14" s="64" customFormat="1" x14ac:dyDescent="0.3">
      <c r="H36" s="18"/>
      <c r="I36" s="18"/>
      <c r="J36" s="18"/>
      <c r="K36" s="18"/>
      <c r="L36" s="18"/>
      <c r="M36" s="18"/>
      <c r="N36" s="18"/>
    </row>
    <row r="37" spans="1:14" s="64" customFormat="1" x14ac:dyDescent="0.3">
      <c r="A37" s="15"/>
      <c r="B37" s="60" t="s">
        <v>81</v>
      </c>
      <c r="C37" s="15"/>
      <c r="D37" s="15"/>
      <c r="E37" s="65"/>
      <c r="F37" s="65"/>
      <c r="H37" s="24"/>
      <c r="I37" s="24"/>
      <c r="J37" s="24"/>
      <c r="K37" s="24"/>
      <c r="L37" s="24"/>
      <c r="M37" s="24"/>
      <c r="N37" s="24"/>
    </row>
    <row r="38" spans="1:14" s="64" customFormat="1" x14ac:dyDescent="0.3"/>
    <row r="39" spans="1:14" s="64" customFormat="1" x14ac:dyDescent="0.3">
      <c r="A39" s="15"/>
      <c r="B39" s="60" t="s">
        <v>82</v>
      </c>
      <c r="C39" s="24"/>
      <c r="D39" s="24"/>
      <c r="E39" s="24"/>
      <c r="F39" s="24"/>
    </row>
    <row r="40" spans="1:14" s="64" customFormat="1" ht="15" customHeight="1" x14ac:dyDescent="0.3">
      <c r="A40" s="15"/>
      <c r="B40" s="33" t="s">
        <v>83</v>
      </c>
      <c r="C40" s="226" t="s">
        <v>84</v>
      </c>
      <c r="D40" s="226"/>
      <c r="E40" s="22" t="s">
        <v>85</v>
      </c>
      <c r="F40" s="22" t="s">
        <v>86</v>
      </c>
    </row>
    <row r="41" spans="1:14" s="64" customFormat="1" x14ac:dyDescent="0.3">
      <c r="A41" s="15"/>
      <c r="B41" s="66" t="s">
        <v>31</v>
      </c>
      <c r="C41" s="8" t="s">
        <v>87</v>
      </c>
      <c r="D41" s="8"/>
      <c r="E41" s="39" t="s">
        <v>88</v>
      </c>
      <c r="F41" s="67">
        <v>14.8</v>
      </c>
    </row>
    <row r="42" spans="1:14" s="64" customFormat="1" x14ac:dyDescent="0.3">
      <c r="B42" s="66" t="s">
        <v>34</v>
      </c>
      <c r="C42" s="5" t="s">
        <v>89</v>
      </c>
      <c r="D42" s="5"/>
      <c r="E42" s="68" t="s">
        <v>88</v>
      </c>
      <c r="F42" s="67">
        <v>18.18</v>
      </c>
    </row>
    <row r="43" spans="1:14" s="64" customFormat="1" x14ac:dyDescent="0.3">
      <c r="B43" s="66" t="s">
        <v>42</v>
      </c>
      <c r="C43" s="8" t="s">
        <v>90</v>
      </c>
      <c r="D43" s="8"/>
      <c r="E43" s="39" t="s">
        <v>91</v>
      </c>
      <c r="F43" s="69">
        <v>22</v>
      </c>
      <c r="H43" s="15"/>
      <c r="I43" s="15"/>
      <c r="J43" s="15"/>
      <c r="K43" s="15"/>
      <c r="L43" s="15"/>
      <c r="M43" s="15"/>
      <c r="N43" s="15"/>
    </row>
    <row r="44" spans="1:14" ht="16.5" customHeight="1" x14ac:dyDescent="0.3">
      <c r="B44" s="66" t="s">
        <v>38</v>
      </c>
      <c r="C44" s="228" t="s">
        <v>92</v>
      </c>
      <c r="D44" s="228"/>
      <c r="E44" s="70" t="s">
        <v>91</v>
      </c>
      <c r="F44" s="63">
        <v>15</v>
      </c>
    </row>
    <row r="45" spans="1:14" ht="16.5" customHeight="1" x14ac:dyDescent="0.3">
      <c r="B45" s="66" t="s">
        <v>45</v>
      </c>
      <c r="C45" s="228" t="s">
        <v>93</v>
      </c>
      <c r="D45" s="228"/>
      <c r="E45" s="70"/>
      <c r="F45" s="63"/>
      <c r="H45" s="64"/>
      <c r="I45" s="64"/>
      <c r="J45" s="64"/>
      <c r="K45" s="64"/>
      <c r="L45" s="64"/>
      <c r="M45" s="64"/>
      <c r="N45" s="64"/>
    </row>
    <row r="46" spans="1:14" ht="16.5" customHeight="1" x14ac:dyDescent="0.3">
      <c r="B46" s="66" t="s">
        <v>94</v>
      </c>
      <c r="C46" s="228" t="s">
        <v>95</v>
      </c>
      <c r="D46" s="228"/>
      <c r="E46" s="70"/>
      <c r="F46" s="63"/>
      <c r="H46" s="18"/>
      <c r="I46" s="18"/>
      <c r="J46" s="18"/>
      <c r="K46" s="18"/>
      <c r="L46" s="18"/>
      <c r="M46" s="18"/>
      <c r="N46" s="18"/>
    </row>
    <row r="47" spans="1:14" s="64" customFormat="1" x14ac:dyDescent="0.3">
      <c r="H47" s="18"/>
      <c r="I47" s="18"/>
      <c r="J47" s="18"/>
      <c r="K47" s="18"/>
      <c r="L47" s="18"/>
      <c r="M47" s="18"/>
      <c r="N47" s="18"/>
    </row>
    <row r="48" spans="1:14" s="18" customFormat="1" x14ac:dyDescent="0.3">
      <c r="B48" s="60" t="s">
        <v>96</v>
      </c>
      <c r="C48" s="71"/>
      <c r="D48" s="72"/>
      <c r="E48" s="15"/>
      <c r="F48" s="15"/>
    </row>
    <row r="49" spans="1:14" s="18" customFormat="1" ht="15" customHeight="1" x14ac:dyDescent="0.3">
      <c r="B49" s="60" t="s">
        <v>97</v>
      </c>
      <c r="C49" s="71"/>
      <c r="D49" s="72"/>
      <c r="E49" s="73"/>
      <c r="F49" s="73"/>
    </row>
    <row r="50" spans="1:14" s="18" customFormat="1" ht="16.5" customHeight="1" x14ac:dyDescent="0.3">
      <c r="B50" s="33" t="s">
        <v>98</v>
      </c>
      <c r="C50" s="226" t="s">
        <v>99</v>
      </c>
      <c r="D50" s="226"/>
      <c r="E50" s="226"/>
      <c r="F50" s="22" t="s">
        <v>100</v>
      </c>
      <c r="H50" s="15"/>
      <c r="I50" s="15"/>
      <c r="J50" s="15"/>
      <c r="K50" s="15"/>
      <c r="L50" s="15"/>
      <c r="M50" s="15"/>
      <c r="N50" s="15"/>
    </row>
    <row r="51" spans="1:14" ht="16.5" customHeight="1" x14ac:dyDescent="0.3">
      <c r="A51" s="18"/>
      <c r="B51" s="22" t="s">
        <v>31</v>
      </c>
      <c r="C51" s="229" t="s">
        <v>101</v>
      </c>
      <c r="D51" s="229"/>
      <c r="E51" s="229"/>
      <c r="F51" s="70"/>
    </row>
    <row r="52" spans="1:14" s="64" customFormat="1" x14ac:dyDescent="0.3">
      <c r="H52" s="15"/>
      <c r="I52" s="15"/>
      <c r="J52" s="15"/>
      <c r="K52" s="15"/>
      <c r="L52" s="15"/>
      <c r="M52" s="15"/>
      <c r="N52" s="15"/>
    </row>
    <row r="53" spans="1:14" x14ac:dyDescent="0.3">
      <c r="B53" s="60" t="s">
        <v>102</v>
      </c>
      <c r="C53" s="71"/>
      <c r="D53" s="72"/>
      <c r="E53" s="73"/>
      <c r="F53" s="73"/>
    </row>
    <row r="54" spans="1:14" x14ac:dyDescent="0.3">
      <c r="B54" s="33" t="s">
        <v>103</v>
      </c>
      <c r="C54" s="230" t="s">
        <v>104</v>
      </c>
      <c r="D54" s="230"/>
      <c r="E54" s="230"/>
      <c r="F54" s="22" t="s">
        <v>105</v>
      </c>
    </row>
    <row r="55" spans="1:14" ht="16.5" customHeight="1" x14ac:dyDescent="0.3">
      <c r="B55" s="33" t="s">
        <v>31</v>
      </c>
      <c r="C55" s="231" t="s">
        <v>106</v>
      </c>
      <c r="D55" s="231"/>
      <c r="E55" s="231"/>
      <c r="F55" s="62"/>
    </row>
    <row r="56" spans="1:14" ht="15" customHeight="1" x14ac:dyDescent="0.3">
      <c r="B56" s="33" t="s">
        <v>34</v>
      </c>
      <c r="C56" s="1" t="s">
        <v>107</v>
      </c>
      <c r="D56" s="1"/>
      <c r="E56" s="1"/>
      <c r="F56" s="62"/>
    </row>
    <row r="57" spans="1:14" s="64" customFormat="1" x14ac:dyDescent="0.3"/>
    <row r="58" spans="1:14" x14ac:dyDescent="0.3">
      <c r="B58" s="60" t="s">
        <v>108</v>
      </c>
      <c r="C58" s="71"/>
      <c r="D58" s="71"/>
      <c r="E58" s="73"/>
      <c r="F58" s="73"/>
    </row>
    <row r="59" spans="1:14" ht="15.75" customHeight="1" x14ac:dyDescent="0.3">
      <c r="B59" s="74">
        <v>5</v>
      </c>
      <c r="C59" s="232" t="s">
        <v>109</v>
      </c>
      <c r="D59" s="232"/>
      <c r="E59" s="232"/>
      <c r="F59" s="75" t="s">
        <v>110</v>
      </c>
    </row>
    <row r="60" spans="1:14" ht="16.5" customHeight="1" x14ac:dyDescent="0.3">
      <c r="B60" s="76" t="s">
        <v>31</v>
      </c>
      <c r="C60" s="233" t="s">
        <v>111</v>
      </c>
      <c r="D60" s="233"/>
      <c r="E60" s="233"/>
      <c r="F60" s="77">
        <v>34.338000000000001</v>
      </c>
      <c r="H60" s="78"/>
      <c r="I60" s="78"/>
      <c r="J60" s="78"/>
      <c r="K60" s="78"/>
      <c r="L60" s="78"/>
      <c r="M60" s="78"/>
      <c r="N60" s="78"/>
    </row>
    <row r="61" spans="1:14" ht="16.5" customHeight="1" x14ac:dyDescent="0.3">
      <c r="B61" s="76" t="s">
        <v>34</v>
      </c>
      <c r="C61" s="234" t="s">
        <v>112</v>
      </c>
      <c r="D61" s="234"/>
      <c r="E61" s="234"/>
      <c r="F61" s="77">
        <v>1232.47</v>
      </c>
      <c r="H61" s="78"/>
      <c r="I61" s="78"/>
      <c r="J61" s="78"/>
      <c r="K61" s="78"/>
      <c r="L61" s="78"/>
      <c r="M61" s="78"/>
      <c r="N61" s="78"/>
    </row>
    <row r="62" spans="1:14" s="78" customFormat="1" ht="16.5" customHeight="1" x14ac:dyDescent="0.3">
      <c r="A62" s="15"/>
      <c r="B62" s="76" t="s">
        <v>38</v>
      </c>
      <c r="C62" s="233" t="s">
        <v>113</v>
      </c>
      <c r="D62" s="233"/>
      <c r="E62" s="233"/>
      <c r="F62" s="77">
        <v>7.91</v>
      </c>
      <c r="H62" s="64"/>
      <c r="I62" s="64"/>
      <c r="J62" s="64"/>
      <c r="K62" s="64"/>
      <c r="L62" s="64"/>
      <c r="M62" s="64"/>
      <c r="N62" s="64"/>
    </row>
    <row r="63" spans="1:14" s="78" customFormat="1" ht="16.5" customHeight="1" x14ac:dyDescent="0.3">
      <c r="A63" s="15"/>
      <c r="B63" s="76" t="s">
        <v>42</v>
      </c>
      <c r="C63" s="228" t="s">
        <v>114</v>
      </c>
      <c r="D63" s="228"/>
      <c r="E63" s="228"/>
      <c r="F63" s="63"/>
      <c r="H63" s="79"/>
      <c r="I63" s="79"/>
      <c r="J63" s="79"/>
      <c r="K63" s="79"/>
      <c r="L63" s="79"/>
      <c r="M63" s="79"/>
      <c r="N63" s="79"/>
    </row>
    <row r="64" spans="1:14" s="64" customFormat="1" x14ac:dyDescent="0.3">
      <c r="H64" s="80"/>
      <c r="I64" s="80"/>
      <c r="J64" s="80"/>
      <c r="K64" s="80"/>
      <c r="L64" s="80"/>
      <c r="M64" s="80"/>
      <c r="N64" s="80"/>
    </row>
    <row r="65" spans="1:14" s="79" customFormat="1" ht="16.5" customHeight="1" x14ac:dyDescent="0.3">
      <c r="A65" s="15"/>
      <c r="B65" s="235" t="s">
        <v>115</v>
      </c>
      <c r="C65" s="235"/>
      <c r="D65" s="235"/>
      <c r="E65" s="235"/>
      <c r="F65" s="235"/>
      <c r="H65" s="80"/>
      <c r="I65" s="80"/>
      <c r="J65" s="80"/>
      <c r="K65" s="80"/>
      <c r="L65" s="80"/>
      <c r="M65" s="80"/>
      <c r="N65" s="80"/>
    </row>
    <row r="66" spans="1:14" s="80" customFormat="1" ht="16.5" customHeight="1" x14ac:dyDescent="0.3">
      <c r="A66" s="15"/>
      <c r="B66" s="33">
        <v>6</v>
      </c>
      <c r="C66" s="230" t="s">
        <v>116</v>
      </c>
      <c r="D66" s="230"/>
      <c r="E66" s="230"/>
      <c r="F66" s="22" t="s">
        <v>100</v>
      </c>
    </row>
    <row r="67" spans="1:14" s="80" customFormat="1" ht="16.5" customHeight="1" x14ac:dyDescent="0.3">
      <c r="A67" s="78"/>
      <c r="B67" s="33" t="s">
        <v>31</v>
      </c>
      <c r="C67" s="236" t="s">
        <v>117</v>
      </c>
      <c r="D67" s="236"/>
      <c r="E67" s="236"/>
      <c r="F67" s="81">
        <v>4.7300000000000004</v>
      </c>
    </row>
    <row r="68" spans="1:14" s="80" customFormat="1" ht="16.5" customHeight="1" x14ac:dyDescent="0.3">
      <c r="A68" s="78"/>
      <c r="B68" s="22" t="s">
        <v>34</v>
      </c>
      <c r="C68" s="1" t="s">
        <v>118</v>
      </c>
      <c r="D68" s="1"/>
      <c r="E68" s="1"/>
      <c r="F68" s="81">
        <v>5.57</v>
      </c>
      <c r="H68" s="15"/>
      <c r="I68" s="15"/>
      <c r="J68" s="15"/>
      <c r="K68" s="15"/>
      <c r="L68" s="15"/>
      <c r="M68" s="15"/>
      <c r="N68" s="15"/>
    </row>
    <row r="69" spans="1:14" s="80" customFormat="1" ht="16.5" customHeight="1" x14ac:dyDescent="0.3">
      <c r="A69" s="79"/>
      <c r="B69" s="82" t="s">
        <v>119</v>
      </c>
      <c r="C69" s="236" t="s">
        <v>120</v>
      </c>
      <c r="D69" s="236"/>
      <c r="E69" s="236">
        <f>PERC_PIS</f>
        <v>0.65</v>
      </c>
      <c r="F69" s="81">
        <v>0.65</v>
      </c>
      <c r="H69" s="15"/>
      <c r="I69" s="15"/>
      <c r="J69" s="15"/>
      <c r="K69" s="15"/>
      <c r="L69" s="15"/>
      <c r="M69" s="15"/>
      <c r="N69" s="15"/>
    </row>
    <row r="70" spans="1:14" ht="16.5" customHeight="1" x14ac:dyDescent="0.3">
      <c r="B70" s="82" t="s">
        <v>121</v>
      </c>
      <c r="C70" s="1" t="s">
        <v>122</v>
      </c>
      <c r="D70" s="1"/>
      <c r="E70" s="1">
        <f>PERC_COFINS</f>
        <v>3</v>
      </c>
      <c r="F70" s="81">
        <v>3</v>
      </c>
      <c r="H70" s="64"/>
      <c r="I70" s="64"/>
      <c r="J70" s="64"/>
      <c r="K70" s="64"/>
      <c r="L70" s="64"/>
      <c r="M70" s="64"/>
      <c r="N70" s="64"/>
    </row>
    <row r="71" spans="1:14" ht="16.5" customHeight="1" x14ac:dyDescent="0.3">
      <c r="B71" s="82" t="s">
        <v>123</v>
      </c>
      <c r="C71" s="236" t="s">
        <v>124</v>
      </c>
      <c r="D71" s="236"/>
      <c r="E71" s="236">
        <f>PERC_ISS</f>
        <v>5</v>
      </c>
      <c r="F71" s="81">
        <v>5</v>
      </c>
    </row>
    <row r="72" spans="1:14" s="64" customFormat="1" x14ac:dyDescent="0.3">
      <c r="H72" s="15"/>
      <c r="I72" s="15"/>
      <c r="J72" s="15"/>
      <c r="K72" s="15"/>
      <c r="L72" s="15"/>
      <c r="M72" s="15"/>
      <c r="N72" s="15"/>
    </row>
    <row r="73" spans="1:14" ht="20.25" x14ac:dyDescent="0.3">
      <c r="B73" s="83" t="s">
        <v>125</v>
      </c>
      <c r="C73" s="84"/>
      <c r="D73" s="84"/>
      <c r="E73" s="84"/>
      <c r="F73" s="85"/>
    </row>
    <row r="74" spans="1:14" ht="33.75" customHeight="1" x14ac:dyDescent="0.3">
      <c r="B74" s="237" t="s">
        <v>126</v>
      </c>
      <c r="C74" s="237"/>
      <c r="D74" s="237"/>
      <c r="E74" s="237"/>
      <c r="F74" s="237"/>
    </row>
  </sheetData>
  <sheetProtection sheet="1" objects="1" scenarios="1"/>
  <mergeCells count="70">
    <mergeCell ref="C70:E70"/>
    <mergeCell ref="C71:E71"/>
    <mergeCell ref="B74:F74"/>
    <mergeCell ref="B65:F65"/>
    <mergeCell ref="C66:E66"/>
    <mergeCell ref="C67:E67"/>
    <mergeCell ref="C68:E68"/>
    <mergeCell ref="C69:E69"/>
    <mergeCell ref="C59:E59"/>
    <mergeCell ref="C60:E60"/>
    <mergeCell ref="C61:E61"/>
    <mergeCell ref="C62:E62"/>
    <mergeCell ref="C63:E63"/>
    <mergeCell ref="C50:E50"/>
    <mergeCell ref="C51:E51"/>
    <mergeCell ref="C54:E54"/>
    <mergeCell ref="C55:E55"/>
    <mergeCell ref="C56:E56"/>
    <mergeCell ref="C42:D42"/>
    <mergeCell ref="C43:D43"/>
    <mergeCell ref="C44:D44"/>
    <mergeCell ref="C45:D45"/>
    <mergeCell ref="C46:D46"/>
    <mergeCell ref="C33:E33"/>
    <mergeCell ref="C34:E34"/>
    <mergeCell ref="C35:E35"/>
    <mergeCell ref="C40:D40"/>
    <mergeCell ref="C41:D41"/>
    <mergeCell ref="D25:F25"/>
    <mergeCell ref="C26:E26"/>
    <mergeCell ref="C27:E27"/>
    <mergeCell ref="C31:E31"/>
    <mergeCell ref="C32:E32"/>
    <mergeCell ref="H18:N18"/>
    <mergeCell ref="H19:N20"/>
    <mergeCell ref="H21:N22"/>
    <mergeCell ref="B23:F23"/>
    <mergeCell ref="H23:N24"/>
    <mergeCell ref="C24:D24"/>
    <mergeCell ref="E24:F24"/>
    <mergeCell ref="M14:N14"/>
    <mergeCell ref="C15:E15"/>
    <mergeCell ref="H15:M15"/>
    <mergeCell ref="B17:F17"/>
    <mergeCell ref="H17:N17"/>
    <mergeCell ref="B10:F10"/>
    <mergeCell ref="C11:E11"/>
    <mergeCell ref="D12:F12"/>
    <mergeCell ref="C13:E13"/>
    <mergeCell ref="C14:E14"/>
    <mergeCell ref="B5:F5"/>
    <mergeCell ref="H5:N5"/>
    <mergeCell ref="B6:C6"/>
    <mergeCell ref="D6:F6"/>
    <mergeCell ref="H6:H8"/>
    <mergeCell ref="I6:I7"/>
    <mergeCell ref="J6:J7"/>
    <mergeCell ref="K6:K7"/>
    <mergeCell ref="L6:L7"/>
    <mergeCell ref="M6:M8"/>
    <mergeCell ref="N6:N8"/>
    <mergeCell ref="B7:C7"/>
    <mergeCell ref="D7:E7"/>
    <mergeCell ref="B8:C8"/>
    <mergeCell ref="D8:E8"/>
    <mergeCell ref="B1:F1"/>
    <mergeCell ref="H1:N3"/>
    <mergeCell ref="B2:D2"/>
    <mergeCell ref="B4:F4"/>
    <mergeCell ref="H4:L4"/>
  </mergeCells>
  <dataValidations count="19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0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69">
      <formula1>0.65</formula1>
      <formula2>0</formula2>
    </dataValidation>
    <dataValidation type="decimal" allowBlank="1" showInputMessage="1" showErrorMessage="1" errorTitle="Erro na inserção de dados." error="O percentual recomendado de lucro, para serviços de limpeza e conservação, é de 5,57%, conforme estudos realizados pela Auditoria Interna do MPU." sqref="F68">
      <formula1>0</formula1>
      <formula2>5.57</formula2>
    </dataValidation>
    <dataValidation type="decimal" allowBlank="1" showInputMessage="1" showErrorMessage="1" errorTitle="Erro na inserção de dados." error="O percentual recomendado de custos indiretos, para serviços de limpeza e conservação, é de 4,73%, conforme estudos realizados pela Auditoria Interna do MPU." sqref="F67">
      <formula1>0</formula1>
      <formula2>4.73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2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  <formula2>0</formula2>
    </dataValidation>
    <dataValidation type="decimal" operator="greaterThanOrEqual" allowBlank="1" showInputMessage="1" showErrorMessage="1" errorTitle="Atentar para o valor do salário." error="Tem certeza que o valor do salário normativo é menor que o salário mínimo vigente no país?" sqref="F19:F20">
      <formula1>F27</formula1>
      <formula2>0</formula2>
    </dataValidation>
    <dataValidation type="decimal" operator="equal" allowBlank="1" showInputMessage="1" showErrorMessage="1" errorTitle="Atentar para o valor do salário." error="Tem certeza que o valor do salário normativo do servente de área hospitalar é diferente ao salário normativo do servente?" sqref="F21">
      <formula1>F20</formula1>
      <formula2>0</formula2>
    </dataValidation>
    <dataValidation type="list" showInputMessage="1" showErrorMessage="1" sqref="D19:D21">
      <formula1>"SIM,NÃO"</formula1>
      <formula2>0</formula2>
    </dataValidation>
    <dataValidation type="whole" operator="lessThanOrEqual" showInputMessage="1" showErrorMessage="1" errorTitle="Atentar para a quantidade." error="Tem certeza que o quantitativo de encarregados obedece a relação de 1 para cada 30 serventes?" sqref="E19">
      <formula1>QTDE_ESTIMADA_SERVENTES/RELACAO_SERVENTES_ENCARREGADOS</formula1>
      <formula2>0</formula2>
    </dataValidation>
    <dataValidation type="list" allowBlank="1" showInputMessage="1" showErrorMessage="1" sqref="N4">
      <formula1>"7/2015,213/2017"</formula1>
      <formula2>0</formula2>
    </dataValidation>
    <dataValidation type="decimal" operator="equal" allowBlank="1" showInputMessage="1" showErrorMessage="1" errorTitle="Incluir a área médica." error="Atente para a inclusão da área médico hospitalar a ser limpa." sqref="E21">
      <formula1>0</formula1>
      <formula2>0</formula2>
    </dataValidation>
    <dataValidation type="list" allowBlank="1" showInputMessage="1" showErrorMessage="1" errorTitle="Atentar para a produtividade." error="Tem certeza que a produtividade é diferente do previsto nas Portarias SLTI/MPOG nº 7/2015 e SEGES nº 213/2017?" sqref="M9">
      <formula1>"600,800"</formula1>
      <formula2>0</formula2>
    </dataValidation>
    <dataValidation type="list" allowBlank="1" showInputMessage="1" showErrorMessage="1" errorTitle="Atentar para a produtividade." error="Tem certeza que a produtividade é diferente do previsto nas Portarias SLTI/MPOG nº 7/2015 e SEGES nº 213/2017?" sqref="M10">
      <formula1>"1200,1800"</formula1>
      <formula2>0</formula2>
    </dataValidation>
    <dataValidation type="list" allowBlank="1" showInputMessage="1" showErrorMessage="1" errorTitle="Atentar para a produtividade." error="Tem certeza que a produtividade é diferente do previsto nas Portarias SLTI/MPOG nº 7/2015 e SEGES nº 213/2017?" sqref="M11">
      <formula1>"220,300"</formula1>
      <formula2>0</formula2>
    </dataValidation>
    <dataValidation type="list" allowBlank="1" showInputMessage="1" showErrorMessage="1" errorTitle="Atentar para a produtividade." error="Tem certeza que a produtividade é diferente do previsto nas Portarias SLTI/MPOG nº 7/2015 e SEGES nº 213/2017?" sqref="M12">
      <formula1>"110,130"</formula1>
      <formula2>0</formula2>
    </dataValidation>
    <dataValidation type="whole" operator="equal" allowBlank="1" showInputMessage="1" showErrorMessage="1" errorTitle="Atenção para a inclusão do item." error="Segundo estudos da Audin-MPU, a inclusão deste item não é usual nas planilhas de custos no âmbito do MPU. Verifique se realmente há necessidade de incluí-lo." promptTitle="Intervalo Intrajornada" prompt="Segundo estudos da Audin-MPU, esse item não é usual nas planilhas do MPU. Verifique se realmente há necessidade de incluí-lo." sqref="F55:F56">
      <formula1>0</formula1>
      <formula2>0</formula2>
    </dataValidation>
    <dataValidation type="list" allowBlank="1" showInputMessage="1" showErrorMessage="1" sqref="F13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scale="45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OrEqual" allowBlank="1" showInputMessage="1" showErrorMessage="1" errorTitle="Atentar para o quantitativo." error="Tem certeza que o quantitativo de serventes está de acordo com a produtividade das áreas a serem limpas?">
          <x14:formula1>
            <xm:f>'QTDE-ESTIMADA-SERVENTES'!D10</xm:f>
          </x14:formula1>
          <x14:formula2>
            <xm:f>0</xm:f>
          </x14:formula2>
          <xm:sqref>E20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A16" sqref="AA16"/>
    </sheetView>
  </sheetViews>
  <sheetFormatPr defaultRowHeight="16.5" x14ac:dyDescent="0.3"/>
  <cols>
    <col min="1" max="1" width="4.42578125" style="186" customWidth="1"/>
    <col min="2" max="2" width="10.42578125" style="186" customWidth="1"/>
    <col min="3" max="3" width="7.42578125" style="186" customWidth="1"/>
    <col min="4" max="10" width="7" style="186" customWidth="1"/>
    <col min="11" max="11" width="7.42578125" style="186" customWidth="1"/>
    <col min="12" max="18" width="7" style="186" customWidth="1"/>
    <col min="19" max="1025" width="9.140625" style="186" customWidth="1"/>
  </cols>
  <sheetData>
    <row r="1" spans="1:21" ht="17.25" x14ac:dyDescent="0.3">
      <c r="A1" s="187" t="s">
        <v>321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8"/>
      <c r="M1" s="188"/>
      <c r="N1" s="188"/>
      <c r="Q1" s="188"/>
      <c r="R1" s="189" t="s">
        <v>284</v>
      </c>
    </row>
    <row r="2" spans="1:21" ht="16.5" customHeight="1" x14ac:dyDescent="0.3">
      <c r="A2" s="273" t="s">
        <v>285</v>
      </c>
      <c r="B2" s="6" t="s">
        <v>286</v>
      </c>
      <c r="C2" s="277" t="s">
        <v>322</v>
      </c>
      <c r="D2" s="277"/>
      <c r="E2" s="277"/>
      <c r="F2" s="277"/>
      <c r="G2" s="278" t="s">
        <v>323</v>
      </c>
      <c r="H2" s="278"/>
      <c r="I2" s="278"/>
      <c r="J2" s="278"/>
      <c r="K2" s="278" t="s">
        <v>324</v>
      </c>
      <c r="L2" s="278"/>
      <c r="M2" s="278"/>
      <c r="N2" s="278"/>
      <c r="O2" s="279" t="s">
        <v>325</v>
      </c>
      <c r="P2" s="279"/>
      <c r="Q2" s="279"/>
      <c r="R2" s="279"/>
    </row>
    <row r="3" spans="1:21" ht="6.75" customHeight="1" x14ac:dyDescent="0.3">
      <c r="A3" s="273"/>
      <c r="B3" s="6"/>
      <c r="C3" s="277"/>
      <c r="D3" s="277"/>
      <c r="E3" s="277"/>
      <c r="F3" s="277"/>
      <c r="G3" s="278"/>
      <c r="H3" s="278"/>
      <c r="I3" s="278"/>
      <c r="J3" s="278"/>
      <c r="K3" s="278"/>
      <c r="L3" s="278"/>
      <c r="M3" s="278"/>
      <c r="N3" s="278"/>
      <c r="O3" s="279"/>
      <c r="P3" s="279"/>
      <c r="Q3" s="279"/>
      <c r="R3" s="279"/>
    </row>
    <row r="4" spans="1:21" ht="16.5" customHeight="1" x14ac:dyDescent="0.3">
      <c r="A4" s="273"/>
      <c r="B4" s="6"/>
      <c r="C4" s="202">
        <v>800</v>
      </c>
      <c r="D4" s="203" t="s">
        <v>326</v>
      </c>
      <c r="E4" s="202">
        <v>1200</v>
      </c>
      <c r="F4" s="204" t="s">
        <v>326</v>
      </c>
      <c r="G4" s="202">
        <v>1800</v>
      </c>
      <c r="H4" s="203" t="s">
        <v>326</v>
      </c>
      <c r="I4" s="202">
        <v>2700</v>
      </c>
      <c r="J4" s="204" t="s">
        <v>326</v>
      </c>
      <c r="K4" s="202">
        <v>300</v>
      </c>
      <c r="L4" s="203" t="s">
        <v>326</v>
      </c>
      <c r="M4" s="202">
        <v>380</v>
      </c>
      <c r="N4" s="204" t="s">
        <v>326</v>
      </c>
      <c r="O4" s="202">
        <v>130</v>
      </c>
      <c r="P4" s="203" t="s">
        <v>326</v>
      </c>
      <c r="Q4" s="202">
        <v>160</v>
      </c>
      <c r="R4" s="204" t="s">
        <v>326</v>
      </c>
    </row>
    <row r="5" spans="1:21" ht="33" x14ac:dyDescent="0.3">
      <c r="A5" s="273"/>
      <c r="B5" s="6"/>
      <c r="C5" s="192" t="s">
        <v>327</v>
      </c>
      <c r="D5" s="192" t="s">
        <v>328</v>
      </c>
      <c r="E5" s="192" t="s">
        <v>327</v>
      </c>
      <c r="F5" s="192" t="s">
        <v>328</v>
      </c>
      <c r="G5" s="192" t="s">
        <v>327</v>
      </c>
      <c r="H5" s="192" t="s">
        <v>328</v>
      </c>
      <c r="I5" s="192" t="s">
        <v>327</v>
      </c>
      <c r="J5" s="192" t="s">
        <v>328</v>
      </c>
      <c r="K5" s="192" t="s">
        <v>327</v>
      </c>
      <c r="L5" s="192" t="s">
        <v>328</v>
      </c>
      <c r="M5" s="192" t="s">
        <v>327</v>
      </c>
      <c r="N5" s="192" t="s">
        <v>328</v>
      </c>
      <c r="O5" s="192" t="s">
        <v>327</v>
      </c>
      <c r="P5" s="192" t="s">
        <v>328</v>
      </c>
      <c r="Q5" s="192" t="s">
        <v>327</v>
      </c>
      <c r="R5" s="192" t="s">
        <v>328</v>
      </c>
    </row>
    <row r="6" spans="1:21" x14ac:dyDescent="0.3">
      <c r="A6" s="193" t="s">
        <v>292</v>
      </c>
      <c r="B6" s="205">
        <v>43349</v>
      </c>
      <c r="C6" s="195">
        <v>3.57</v>
      </c>
      <c r="D6" s="195">
        <v>4.3</v>
      </c>
      <c r="E6" s="195">
        <v>2.38</v>
      </c>
      <c r="F6" s="195">
        <v>2.86</v>
      </c>
      <c r="G6" s="195">
        <v>1.59</v>
      </c>
      <c r="H6" s="195">
        <v>1.98</v>
      </c>
      <c r="I6" s="195">
        <v>1.06</v>
      </c>
      <c r="J6" s="195">
        <v>1.27</v>
      </c>
      <c r="K6" s="195">
        <v>0.81</v>
      </c>
      <c r="L6" s="195">
        <v>0.97</v>
      </c>
      <c r="M6" s="195">
        <v>0.64</v>
      </c>
      <c r="N6" s="195">
        <v>0.77</v>
      </c>
      <c r="O6" s="195">
        <v>0.2</v>
      </c>
      <c r="P6" s="195">
        <v>0.24</v>
      </c>
      <c r="Q6" s="195">
        <v>0.17</v>
      </c>
      <c r="R6" s="195">
        <v>0.2</v>
      </c>
    </row>
    <row r="7" spans="1:21" x14ac:dyDescent="0.3">
      <c r="A7" s="193" t="s">
        <v>293</v>
      </c>
      <c r="B7" s="205">
        <v>43805</v>
      </c>
      <c r="C7" s="196">
        <v>3.88</v>
      </c>
      <c r="D7" s="196">
        <v>4.67</v>
      </c>
      <c r="E7" s="196">
        <v>2.59</v>
      </c>
      <c r="F7" s="196">
        <v>3.12</v>
      </c>
      <c r="G7" s="196">
        <v>1.73</v>
      </c>
      <c r="H7" s="196">
        <v>2.08</v>
      </c>
      <c r="I7" s="196">
        <v>1.1499999999999999</v>
      </c>
      <c r="J7" s="196">
        <v>1.38</v>
      </c>
      <c r="K7" s="196">
        <v>0.88</v>
      </c>
      <c r="L7" s="196">
        <v>1.06</v>
      </c>
      <c r="M7" s="196">
        <v>0.69</v>
      </c>
      <c r="N7" s="196">
        <v>0.83</v>
      </c>
      <c r="O7" s="196">
        <v>0.21</v>
      </c>
      <c r="P7" s="196">
        <v>0.25</v>
      </c>
      <c r="Q7" s="196">
        <v>0.17</v>
      </c>
      <c r="R7" s="196">
        <v>0.21</v>
      </c>
    </row>
    <row r="8" spans="1:21" x14ac:dyDescent="0.3">
      <c r="A8" s="193" t="s">
        <v>294</v>
      </c>
      <c r="B8" s="205">
        <v>43643</v>
      </c>
      <c r="C8" s="195">
        <v>3.87</v>
      </c>
      <c r="D8" s="195">
        <v>4.66</v>
      </c>
      <c r="E8" s="195">
        <v>2.58</v>
      </c>
      <c r="F8" s="195">
        <v>3.11</v>
      </c>
      <c r="G8" s="195">
        <v>1.72</v>
      </c>
      <c r="H8" s="195">
        <v>2.0699999999999998</v>
      </c>
      <c r="I8" s="195">
        <v>1.1499999999999999</v>
      </c>
      <c r="J8" s="195">
        <v>1.38</v>
      </c>
      <c r="K8" s="195">
        <v>0.88</v>
      </c>
      <c r="L8" s="195">
        <v>1.05</v>
      </c>
      <c r="M8" s="195">
        <v>0.69</v>
      </c>
      <c r="N8" s="195">
        <v>0.83</v>
      </c>
      <c r="O8" s="195">
        <v>0.26</v>
      </c>
      <c r="P8" s="195">
        <v>0.31</v>
      </c>
      <c r="Q8" s="195">
        <v>0.21</v>
      </c>
      <c r="R8" s="195">
        <v>0.26</v>
      </c>
    </row>
    <row r="9" spans="1:21" x14ac:dyDescent="0.3">
      <c r="A9" s="193" t="s">
        <v>40</v>
      </c>
      <c r="B9" s="205">
        <v>43349</v>
      </c>
      <c r="C9" s="196">
        <v>3.73</v>
      </c>
      <c r="D9" s="196">
        <v>4.5</v>
      </c>
      <c r="E9" s="196">
        <v>2.4900000000000002</v>
      </c>
      <c r="F9" s="196">
        <v>3</v>
      </c>
      <c r="G9" s="196">
        <v>1.66</v>
      </c>
      <c r="H9" s="196">
        <v>2</v>
      </c>
      <c r="I9" s="196">
        <v>1.1100000000000001</v>
      </c>
      <c r="J9" s="196">
        <v>1.33</v>
      </c>
      <c r="K9" s="196">
        <v>0.84</v>
      </c>
      <c r="L9" s="196">
        <v>1.02</v>
      </c>
      <c r="M9" s="196">
        <v>0.67</v>
      </c>
      <c r="N9" s="196">
        <v>0.8</v>
      </c>
      <c r="O9" s="196">
        <v>0.2</v>
      </c>
      <c r="P9" s="196">
        <v>0.24</v>
      </c>
      <c r="Q9" s="196">
        <v>0.17</v>
      </c>
      <c r="R9" s="196">
        <v>0.2</v>
      </c>
      <c r="U9" s="197"/>
    </row>
    <row r="10" spans="1:21" x14ac:dyDescent="0.3">
      <c r="A10" s="193" t="s">
        <v>295</v>
      </c>
      <c r="B10" s="205">
        <v>43013</v>
      </c>
      <c r="C10" s="195">
        <v>3.49</v>
      </c>
      <c r="D10" s="195">
        <v>4.22</v>
      </c>
      <c r="E10" s="195">
        <v>2.3199999999999998</v>
      </c>
      <c r="F10" s="195">
        <v>2.81</v>
      </c>
      <c r="G10" s="195">
        <v>1.55</v>
      </c>
      <c r="H10" s="195">
        <v>1.88</v>
      </c>
      <c r="I10" s="195">
        <v>1.03</v>
      </c>
      <c r="J10" s="195">
        <v>1.25</v>
      </c>
      <c r="K10" s="195">
        <v>0.79</v>
      </c>
      <c r="L10" s="195">
        <v>0.95</v>
      </c>
      <c r="M10" s="195">
        <v>0.62</v>
      </c>
      <c r="N10" s="195">
        <v>0.75</v>
      </c>
      <c r="O10" s="195">
        <v>0.19</v>
      </c>
      <c r="P10" s="195">
        <v>0.23</v>
      </c>
      <c r="Q10" s="195">
        <v>0.15</v>
      </c>
      <c r="R10" s="195">
        <v>0.18</v>
      </c>
      <c r="U10" s="198"/>
    </row>
    <row r="11" spans="1:21" x14ac:dyDescent="0.3">
      <c r="A11" s="193" t="s">
        <v>296</v>
      </c>
      <c r="B11" s="205">
        <v>43690</v>
      </c>
      <c r="C11" s="196">
        <v>4.28</v>
      </c>
      <c r="D11" s="196">
        <v>5.15</v>
      </c>
      <c r="E11" s="196">
        <v>2.85</v>
      </c>
      <c r="F11" s="196">
        <v>3.44</v>
      </c>
      <c r="G11" s="196">
        <v>1.9</v>
      </c>
      <c r="H11" s="196">
        <v>2.29</v>
      </c>
      <c r="I11" s="196">
        <v>1.27</v>
      </c>
      <c r="J11" s="196">
        <v>1.53</v>
      </c>
      <c r="K11" s="196">
        <v>0.97</v>
      </c>
      <c r="L11" s="196">
        <v>1.1599999999999999</v>
      </c>
      <c r="M11" s="196">
        <v>0.76</v>
      </c>
      <c r="N11" s="196">
        <v>0.92</v>
      </c>
      <c r="O11" s="196">
        <v>0.23</v>
      </c>
      <c r="P11" s="196">
        <v>0.27</v>
      </c>
      <c r="Q11" s="196">
        <v>0.18</v>
      </c>
      <c r="R11" s="196">
        <v>0.22</v>
      </c>
      <c r="U11" s="197"/>
    </row>
    <row r="12" spans="1:21" x14ac:dyDescent="0.3">
      <c r="A12" s="193" t="s">
        <v>297</v>
      </c>
      <c r="B12" s="205">
        <v>43593</v>
      </c>
      <c r="C12" s="195">
        <v>5.6</v>
      </c>
      <c r="D12" s="195">
        <v>6.73</v>
      </c>
      <c r="E12" s="195">
        <v>3.73</v>
      </c>
      <c r="F12" s="195">
        <v>4.4800000000000004</v>
      </c>
      <c r="G12" s="195">
        <v>2.4900000000000002</v>
      </c>
      <c r="H12" s="195">
        <v>2.99</v>
      </c>
      <c r="I12" s="195">
        <v>1.66</v>
      </c>
      <c r="J12" s="195">
        <v>1.99</v>
      </c>
      <c r="K12" s="195">
        <v>1.26</v>
      </c>
      <c r="L12" s="195">
        <v>1.52</v>
      </c>
      <c r="M12" s="195">
        <v>1</v>
      </c>
      <c r="N12" s="195">
        <v>1.2</v>
      </c>
      <c r="O12" s="195">
        <v>0.4</v>
      </c>
      <c r="P12" s="195">
        <v>0.48</v>
      </c>
      <c r="Q12" s="195">
        <v>0.33</v>
      </c>
      <c r="R12" s="195">
        <v>0.39</v>
      </c>
      <c r="U12" s="198"/>
    </row>
    <row r="13" spans="1:21" x14ac:dyDescent="0.3">
      <c r="A13" s="193" t="s">
        <v>298</v>
      </c>
      <c r="B13" s="205">
        <v>43234</v>
      </c>
      <c r="C13" s="196">
        <v>4.55</v>
      </c>
      <c r="D13" s="196">
        <v>5.48</v>
      </c>
      <c r="E13" s="196">
        <v>3.03</v>
      </c>
      <c r="F13" s="196">
        <v>3.65</v>
      </c>
      <c r="G13" s="196">
        <v>2.02</v>
      </c>
      <c r="H13" s="196">
        <v>2.4300000000000002</v>
      </c>
      <c r="I13" s="196">
        <v>1.35</v>
      </c>
      <c r="J13" s="196">
        <v>1.62</v>
      </c>
      <c r="K13" s="196">
        <v>1.03</v>
      </c>
      <c r="L13" s="196">
        <v>1.24</v>
      </c>
      <c r="M13" s="196">
        <v>0.81</v>
      </c>
      <c r="N13" s="196">
        <v>0.98</v>
      </c>
      <c r="O13" s="196">
        <v>0.24</v>
      </c>
      <c r="P13" s="196">
        <v>0.28999999999999998</v>
      </c>
      <c r="Q13" s="196">
        <v>0.19</v>
      </c>
      <c r="R13" s="196">
        <v>0.23</v>
      </c>
      <c r="U13" s="197"/>
    </row>
    <row r="14" spans="1:21" x14ac:dyDescent="0.3">
      <c r="A14" s="193" t="s">
        <v>299</v>
      </c>
      <c r="B14" s="205">
        <v>43690</v>
      </c>
      <c r="C14" s="195">
        <v>3.94</v>
      </c>
      <c r="D14" s="195">
        <v>4.75</v>
      </c>
      <c r="E14" s="195">
        <v>2.63</v>
      </c>
      <c r="F14" s="195">
        <v>3.17</v>
      </c>
      <c r="G14" s="195">
        <v>1.75</v>
      </c>
      <c r="H14" s="195">
        <v>2.11</v>
      </c>
      <c r="I14" s="195">
        <v>1.17</v>
      </c>
      <c r="J14" s="195">
        <v>1.41</v>
      </c>
      <c r="K14" s="195">
        <v>0.89</v>
      </c>
      <c r="L14" s="195">
        <v>1.07</v>
      </c>
      <c r="M14" s="195">
        <v>0.7</v>
      </c>
      <c r="N14" s="195">
        <v>0.85</v>
      </c>
      <c r="O14" s="195">
        <v>0.34</v>
      </c>
      <c r="P14" s="195">
        <v>0.41</v>
      </c>
      <c r="Q14" s="195">
        <v>0.28000000000000003</v>
      </c>
      <c r="R14" s="195">
        <v>0.33</v>
      </c>
      <c r="U14" s="198"/>
    </row>
    <row r="15" spans="1:21" x14ac:dyDescent="0.3">
      <c r="A15" s="193" t="s">
        <v>300</v>
      </c>
      <c r="B15" s="205">
        <v>43349</v>
      </c>
      <c r="C15" s="196">
        <v>3.94</v>
      </c>
      <c r="D15" s="196">
        <v>4.74</v>
      </c>
      <c r="E15" s="196">
        <v>2.63</v>
      </c>
      <c r="F15" s="196">
        <v>3.16</v>
      </c>
      <c r="G15" s="196">
        <v>1.75</v>
      </c>
      <c r="H15" s="196">
        <v>2.11</v>
      </c>
      <c r="I15" s="196">
        <v>1.17</v>
      </c>
      <c r="J15" s="196">
        <v>1.4</v>
      </c>
      <c r="K15" s="196">
        <v>0.89</v>
      </c>
      <c r="L15" s="196">
        <v>1.07</v>
      </c>
      <c r="M15" s="196">
        <v>0.7</v>
      </c>
      <c r="N15" s="196">
        <v>0.85</v>
      </c>
      <c r="O15" s="196">
        <v>0.21</v>
      </c>
      <c r="P15" s="196">
        <v>0.25</v>
      </c>
      <c r="Q15" s="196">
        <v>0.17</v>
      </c>
      <c r="R15" s="196">
        <v>0.21</v>
      </c>
      <c r="U15" s="197"/>
    </row>
    <row r="16" spans="1:21" x14ac:dyDescent="0.3">
      <c r="A16" s="193" t="s">
        <v>301</v>
      </c>
      <c r="B16" s="205">
        <v>43643</v>
      </c>
      <c r="C16" s="195">
        <v>4.38</v>
      </c>
      <c r="D16" s="195">
        <v>5.28</v>
      </c>
      <c r="E16" s="195">
        <v>2.92</v>
      </c>
      <c r="F16" s="195">
        <v>3.52</v>
      </c>
      <c r="G16" s="195">
        <v>1.95</v>
      </c>
      <c r="H16" s="195">
        <v>2.35</v>
      </c>
      <c r="I16" s="195">
        <v>1.3</v>
      </c>
      <c r="J16" s="195">
        <v>1.56</v>
      </c>
      <c r="K16" s="195">
        <v>0.99</v>
      </c>
      <c r="L16" s="195">
        <v>1.19</v>
      </c>
      <c r="M16" s="195">
        <v>0.78</v>
      </c>
      <c r="N16" s="195">
        <v>0.94</v>
      </c>
      <c r="O16" s="195">
        <v>0.25</v>
      </c>
      <c r="P16" s="195">
        <v>0.3</v>
      </c>
      <c r="Q16" s="195">
        <v>0.21</v>
      </c>
      <c r="R16" s="195">
        <v>0.25</v>
      </c>
      <c r="U16" s="198"/>
    </row>
    <row r="17" spans="1:33" x14ac:dyDescent="0.3">
      <c r="A17" s="193" t="s">
        <v>302</v>
      </c>
      <c r="B17" s="205">
        <v>43735</v>
      </c>
      <c r="C17" s="196">
        <v>3.69</v>
      </c>
      <c r="D17" s="196">
        <v>4.4400000000000004</v>
      </c>
      <c r="E17" s="196">
        <v>2.46</v>
      </c>
      <c r="F17" s="196">
        <v>2.96</v>
      </c>
      <c r="G17" s="196">
        <v>1.64</v>
      </c>
      <c r="H17" s="196">
        <v>1.97</v>
      </c>
      <c r="I17" s="196">
        <v>1.0900000000000001</v>
      </c>
      <c r="J17" s="196">
        <v>1.32</v>
      </c>
      <c r="K17" s="196">
        <v>0.83</v>
      </c>
      <c r="L17" s="196">
        <v>1</v>
      </c>
      <c r="M17" s="196">
        <v>0.66</v>
      </c>
      <c r="N17" s="196">
        <v>0.79</v>
      </c>
      <c r="O17" s="196">
        <v>0.21</v>
      </c>
      <c r="P17" s="196">
        <v>0.25</v>
      </c>
      <c r="Q17" s="196">
        <v>0.17</v>
      </c>
      <c r="R17" s="196">
        <v>0.2</v>
      </c>
    </row>
    <row r="18" spans="1:33" x14ac:dyDescent="0.3">
      <c r="A18" s="193" t="s">
        <v>303</v>
      </c>
      <c r="B18" s="205">
        <v>43805</v>
      </c>
      <c r="C18" s="195">
        <v>4.3600000000000003</v>
      </c>
      <c r="D18" s="195">
        <v>5.25</v>
      </c>
      <c r="E18" s="195">
        <v>2.91</v>
      </c>
      <c r="F18" s="195">
        <v>3.5</v>
      </c>
      <c r="G18" s="195">
        <v>1.94</v>
      </c>
      <c r="H18" s="195">
        <v>2.34</v>
      </c>
      <c r="I18" s="195">
        <v>1.29</v>
      </c>
      <c r="J18" s="195">
        <v>1.56</v>
      </c>
      <c r="K18" s="195">
        <v>0.99</v>
      </c>
      <c r="L18" s="195">
        <v>1.19</v>
      </c>
      <c r="M18" s="195">
        <v>0.78</v>
      </c>
      <c r="N18" s="195">
        <v>0.94</v>
      </c>
      <c r="O18" s="195">
        <v>0.26</v>
      </c>
      <c r="P18" s="195">
        <v>0.31</v>
      </c>
      <c r="Q18" s="195">
        <v>0.21</v>
      </c>
      <c r="R18" s="195">
        <v>0.25</v>
      </c>
    </row>
    <row r="19" spans="1:33" x14ac:dyDescent="0.3">
      <c r="A19" s="193" t="s">
        <v>304</v>
      </c>
      <c r="B19" s="205">
        <v>43690</v>
      </c>
      <c r="C19" s="196">
        <v>4.1900000000000004</v>
      </c>
      <c r="D19" s="196">
        <v>5.04</v>
      </c>
      <c r="E19" s="196">
        <v>2.79</v>
      </c>
      <c r="F19" s="196">
        <v>3.36</v>
      </c>
      <c r="G19" s="196">
        <v>1.86</v>
      </c>
      <c r="H19" s="196">
        <v>2.2400000000000002</v>
      </c>
      <c r="I19" s="196">
        <v>1.24</v>
      </c>
      <c r="J19" s="196">
        <v>1.49</v>
      </c>
      <c r="K19" s="196">
        <v>0.95</v>
      </c>
      <c r="L19" s="196">
        <v>1.1399999999999999</v>
      </c>
      <c r="M19" s="196">
        <v>0.75</v>
      </c>
      <c r="N19" s="196">
        <v>0.9</v>
      </c>
      <c r="O19" s="196">
        <v>0.23</v>
      </c>
      <c r="P19" s="196">
        <v>0.28000000000000003</v>
      </c>
      <c r="Q19" s="196">
        <v>0.19</v>
      </c>
      <c r="R19" s="196">
        <v>0.22</v>
      </c>
    </row>
    <row r="20" spans="1:33" x14ac:dyDescent="0.3">
      <c r="A20" s="193" t="s">
        <v>305</v>
      </c>
      <c r="B20" s="205">
        <v>43761</v>
      </c>
      <c r="C20" s="195">
        <v>3.74</v>
      </c>
      <c r="D20" s="195">
        <v>4.5</v>
      </c>
      <c r="E20" s="195">
        <v>2.4900000000000002</v>
      </c>
      <c r="F20" s="195">
        <v>3</v>
      </c>
      <c r="G20" s="195">
        <v>1.66</v>
      </c>
      <c r="H20" s="195">
        <v>2</v>
      </c>
      <c r="I20" s="195">
        <v>1.1100000000000001</v>
      </c>
      <c r="J20" s="195">
        <v>1.33</v>
      </c>
      <c r="K20" s="195">
        <v>0.84</v>
      </c>
      <c r="L20" s="195">
        <v>1.02</v>
      </c>
      <c r="M20" s="195">
        <v>0.67</v>
      </c>
      <c r="N20" s="195">
        <v>0.8</v>
      </c>
      <c r="O20" s="195">
        <v>0.2</v>
      </c>
      <c r="P20" s="195">
        <v>0.24</v>
      </c>
      <c r="Q20" s="195">
        <v>0.17</v>
      </c>
      <c r="R20" s="195">
        <v>0.2</v>
      </c>
    </row>
    <row r="21" spans="1:33" x14ac:dyDescent="0.3">
      <c r="A21" s="193" t="s">
        <v>306</v>
      </c>
      <c r="B21" s="205">
        <v>43287</v>
      </c>
      <c r="C21" s="196">
        <v>3.7</v>
      </c>
      <c r="D21" s="196">
        <v>4.45</v>
      </c>
      <c r="E21" s="196">
        <v>2.4700000000000002</v>
      </c>
      <c r="F21" s="196">
        <v>2.97</v>
      </c>
      <c r="G21" s="196">
        <v>1.64</v>
      </c>
      <c r="H21" s="196">
        <v>1.98</v>
      </c>
      <c r="I21" s="196">
        <v>1.1000000000000001</v>
      </c>
      <c r="J21" s="196">
        <v>1.32</v>
      </c>
      <c r="K21" s="196">
        <v>0.84</v>
      </c>
      <c r="L21" s="196">
        <v>1.01</v>
      </c>
      <c r="M21" s="196">
        <v>0.66</v>
      </c>
      <c r="N21" s="196">
        <v>0.79</v>
      </c>
      <c r="O21" s="196">
        <v>0.2</v>
      </c>
      <c r="P21" s="196">
        <v>0.24</v>
      </c>
      <c r="Q21" s="196">
        <v>0.16</v>
      </c>
      <c r="R21" s="196">
        <v>0.2</v>
      </c>
    </row>
    <row r="22" spans="1:33" x14ac:dyDescent="0.3">
      <c r="A22" s="193" t="s">
        <v>307</v>
      </c>
      <c r="B22" s="205">
        <v>43805</v>
      </c>
      <c r="C22" s="195">
        <v>3.92</v>
      </c>
      <c r="D22" s="195">
        <v>4.72</v>
      </c>
      <c r="E22" s="195">
        <v>2.61</v>
      </c>
      <c r="F22" s="195">
        <v>3.15</v>
      </c>
      <c r="G22" s="195">
        <v>1.74</v>
      </c>
      <c r="H22" s="195">
        <v>2.1</v>
      </c>
      <c r="I22" s="195">
        <v>1.1599999999999999</v>
      </c>
      <c r="J22" s="195">
        <v>1.4</v>
      </c>
      <c r="K22" s="195">
        <v>0.89</v>
      </c>
      <c r="L22" s="195">
        <v>1.07</v>
      </c>
      <c r="M22" s="195">
        <v>0.7</v>
      </c>
      <c r="N22" s="195">
        <v>0.84</v>
      </c>
      <c r="O22" s="195">
        <v>0.24</v>
      </c>
      <c r="P22" s="195">
        <v>0.28000000000000003</v>
      </c>
      <c r="Q22" s="195">
        <v>0.19</v>
      </c>
      <c r="R22" s="195">
        <v>0.23</v>
      </c>
    </row>
    <row r="23" spans="1:33" x14ac:dyDescent="0.3">
      <c r="A23" s="193" t="s">
        <v>308</v>
      </c>
      <c r="B23" s="205">
        <v>43234</v>
      </c>
      <c r="C23" s="196">
        <v>4.3600000000000003</v>
      </c>
      <c r="D23" s="196">
        <v>5.25</v>
      </c>
      <c r="E23" s="196">
        <v>2.91</v>
      </c>
      <c r="F23" s="196">
        <v>3.5</v>
      </c>
      <c r="G23" s="196">
        <v>1.94</v>
      </c>
      <c r="H23" s="196">
        <v>2.33</v>
      </c>
      <c r="I23" s="196">
        <v>1.29</v>
      </c>
      <c r="J23" s="196">
        <v>1.56</v>
      </c>
      <c r="K23" s="196">
        <v>0.99</v>
      </c>
      <c r="L23" s="196">
        <v>1.19</v>
      </c>
      <c r="M23" s="196">
        <v>0.78</v>
      </c>
      <c r="N23" s="196">
        <v>0.94</v>
      </c>
      <c r="O23" s="196">
        <v>0.24</v>
      </c>
      <c r="P23" s="196">
        <v>0.28000000000000003</v>
      </c>
      <c r="Q23" s="196">
        <v>0.19</v>
      </c>
      <c r="R23" s="196">
        <v>0.23</v>
      </c>
    </row>
    <row r="24" spans="1:33" x14ac:dyDescent="0.3">
      <c r="A24" s="193" t="s">
        <v>309</v>
      </c>
      <c r="B24" s="205">
        <v>43336</v>
      </c>
      <c r="C24" s="195">
        <v>4.46</v>
      </c>
      <c r="D24" s="195">
        <v>5.37</v>
      </c>
      <c r="E24" s="195">
        <v>2.97</v>
      </c>
      <c r="F24" s="195">
        <v>3.58</v>
      </c>
      <c r="G24" s="195">
        <v>1.98</v>
      </c>
      <c r="H24" s="195">
        <v>2.39</v>
      </c>
      <c r="I24" s="195">
        <v>1.32</v>
      </c>
      <c r="J24" s="195">
        <v>1.59</v>
      </c>
      <c r="K24" s="195">
        <v>1.01</v>
      </c>
      <c r="L24" s="195">
        <v>1.21</v>
      </c>
      <c r="M24" s="195">
        <v>0.8</v>
      </c>
      <c r="N24" s="195">
        <v>0.96</v>
      </c>
      <c r="O24" s="195">
        <v>0.28999999999999998</v>
      </c>
      <c r="P24" s="195">
        <v>0.34</v>
      </c>
      <c r="Q24" s="195">
        <v>0.23</v>
      </c>
      <c r="R24" s="195">
        <v>0.28000000000000003</v>
      </c>
    </row>
    <row r="25" spans="1:33" x14ac:dyDescent="0.3">
      <c r="A25" s="193" t="s">
        <v>310</v>
      </c>
      <c r="B25" s="205">
        <v>43349</v>
      </c>
      <c r="C25" s="196">
        <v>3.47</v>
      </c>
      <c r="D25" s="196">
        <v>4.18</v>
      </c>
      <c r="E25" s="196">
        <v>2.31</v>
      </c>
      <c r="F25" s="196">
        <v>2.79</v>
      </c>
      <c r="G25" s="196">
        <v>1.54</v>
      </c>
      <c r="H25" s="196">
        <v>1.86</v>
      </c>
      <c r="I25" s="196">
        <v>1.03</v>
      </c>
      <c r="J25" s="196">
        <v>1.24</v>
      </c>
      <c r="K25" s="196">
        <v>0.78</v>
      </c>
      <c r="L25" s="196">
        <v>0.94</v>
      </c>
      <c r="M25" s="196">
        <v>0.62</v>
      </c>
      <c r="N25" s="196">
        <v>0.75</v>
      </c>
      <c r="O25" s="196">
        <v>0.18</v>
      </c>
      <c r="P25" s="196">
        <v>0.22</v>
      </c>
      <c r="Q25" s="196">
        <v>0.15</v>
      </c>
      <c r="R25" s="196">
        <v>0.18</v>
      </c>
      <c r="Z25" s="206"/>
      <c r="AA25" s="207"/>
      <c r="AB25" s="208"/>
      <c r="AC25" s="207"/>
      <c r="AD25" s="208"/>
      <c r="AE25" s="207"/>
      <c r="AF25" s="208"/>
      <c r="AG25" s="207"/>
    </row>
    <row r="26" spans="1:33" x14ac:dyDescent="0.3">
      <c r="A26" s="193" t="s">
        <v>311</v>
      </c>
      <c r="B26" s="205">
        <v>43336</v>
      </c>
      <c r="C26" s="195">
        <v>4.1900000000000004</v>
      </c>
      <c r="D26" s="195">
        <v>5.04</v>
      </c>
      <c r="E26" s="195">
        <v>2.79</v>
      </c>
      <c r="F26" s="195">
        <v>3.36</v>
      </c>
      <c r="G26" s="195">
        <v>1.86</v>
      </c>
      <c r="H26" s="195">
        <v>2.2400000000000002</v>
      </c>
      <c r="I26" s="195">
        <v>1.24</v>
      </c>
      <c r="J26" s="195">
        <v>1.49</v>
      </c>
      <c r="K26" s="195">
        <v>0.95</v>
      </c>
      <c r="L26" s="195">
        <v>1.1399999999999999</v>
      </c>
      <c r="M26" s="195">
        <v>0.75</v>
      </c>
      <c r="N26" s="195">
        <v>0.9</v>
      </c>
      <c r="O26" s="195">
        <v>0.25</v>
      </c>
      <c r="P26" s="195">
        <v>0.3</v>
      </c>
      <c r="Q26" s="195">
        <v>0.21</v>
      </c>
      <c r="R26" s="195">
        <v>0.25</v>
      </c>
    </row>
    <row r="27" spans="1:33" x14ac:dyDescent="0.3">
      <c r="A27" s="193" t="s">
        <v>312</v>
      </c>
      <c r="B27" s="205">
        <v>43017</v>
      </c>
      <c r="C27" s="196">
        <v>4.09</v>
      </c>
      <c r="D27" s="196">
        <v>4.95</v>
      </c>
      <c r="E27" s="196">
        <v>2.72</v>
      </c>
      <c r="F27" s="196">
        <v>3.3</v>
      </c>
      <c r="G27" s="196">
        <v>1.82</v>
      </c>
      <c r="H27" s="196">
        <v>2.2000000000000002</v>
      </c>
      <c r="I27" s="196">
        <v>1.21</v>
      </c>
      <c r="J27" s="196">
        <v>1.47</v>
      </c>
      <c r="K27" s="196">
        <v>0.92</v>
      </c>
      <c r="L27" s="196">
        <v>1.1200000000000001</v>
      </c>
      <c r="M27" s="196">
        <v>0.73</v>
      </c>
      <c r="N27" s="196">
        <v>0.88</v>
      </c>
      <c r="O27" s="196">
        <v>0.27</v>
      </c>
      <c r="P27" s="196">
        <v>0.32</v>
      </c>
      <c r="Q27" s="196">
        <v>0.22</v>
      </c>
      <c r="R27" s="196">
        <v>0.26</v>
      </c>
    </row>
    <row r="28" spans="1:33" x14ac:dyDescent="0.3">
      <c r="A28" s="193" t="s">
        <v>313</v>
      </c>
      <c r="B28" s="205">
        <v>43643</v>
      </c>
      <c r="C28" s="195">
        <v>4.71</v>
      </c>
      <c r="D28" s="195">
        <v>5.67</v>
      </c>
      <c r="E28" s="195">
        <v>3.14</v>
      </c>
      <c r="F28" s="195">
        <v>3.78</v>
      </c>
      <c r="G28" s="195">
        <v>2.09</v>
      </c>
      <c r="H28" s="195">
        <v>2.52</v>
      </c>
      <c r="I28" s="195">
        <v>1.39</v>
      </c>
      <c r="J28" s="195">
        <v>1.68</v>
      </c>
      <c r="K28" s="195">
        <v>1.06</v>
      </c>
      <c r="L28" s="195">
        <v>1.28</v>
      </c>
      <c r="M28" s="195">
        <v>0.84</v>
      </c>
      <c r="N28" s="195">
        <v>1.01</v>
      </c>
      <c r="O28" s="195">
        <v>0.26</v>
      </c>
      <c r="P28" s="195">
        <v>0.31</v>
      </c>
      <c r="Q28" s="195">
        <v>0.21</v>
      </c>
      <c r="R28" s="195">
        <v>0.25</v>
      </c>
      <c r="V28" s="199"/>
    </row>
    <row r="29" spans="1:33" x14ac:dyDescent="0.3">
      <c r="A29" s="193" t="s">
        <v>314</v>
      </c>
      <c r="B29" s="205">
        <v>43690</v>
      </c>
      <c r="C29" s="196">
        <v>4.95</v>
      </c>
      <c r="D29" s="196">
        <v>5.97</v>
      </c>
      <c r="E29" s="196">
        <v>3.3</v>
      </c>
      <c r="F29" s="196">
        <v>3.98</v>
      </c>
      <c r="G29" s="196">
        <v>2.2000000000000002</v>
      </c>
      <c r="H29" s="196">
        <v>2.65</v>
      </c>
      <c r="I29" s="196">
        <v>1.47</v>
      </c>
      <c r="J29" s="196">
        <v>1.77</v>
      </c>
      <c r="K29" s="196">
        <v>1.1200000000000001</v>
      </c>
      <c r="L29" s="196">
        <v>1.35</v>
      </c>
      <c r="M29" s="196">
        <v>0.88</v>
      </c>
      <c r="N29" s="196">
        <v>1.07</v>
      </c>
      <c r="O29" s="196">
        <v>0.27</v>
      </c>
      <c r="P29" s="196">
        <v>0.33</v>
      </c>
      <c r="Q29" s="196">
        <v>0.22</v>
      </c>
      <c r="R29" s="196">
        <v>0.27</v>
      </c>
      <c r="V29" s="200"/>
    </row>
    <row r="30" spans="1:33" x14ac:dyDescent="0.3">
      <c r="A30" s="193" t="s">
        <v>315</v>
      </c>
      <c r="B30" s="205">
        <v>43761</v>
      </c>
      <c r="C30" s="195">
        <v>3.69</v>
      </c>
      <c r="D30" s="195">
        <v>4.45</v>
      </c>
      <c r="E30" s="195">
        <v>2.46</v>
      </c>
      <c r="F30" s="195">
        <v>2.96</v>
      </c>
      <c r="G30" s="195">
        <v>1.64</v>
      </c>
      <c r="H30" s="195">
        <v>1.98</v>
      </c>
      <c r="I30" s="195">
        <v>1.0900000000000001</v>
      </c>
      <c r="J30" s="195">
        <v>1.32</v>
      </c>
      <c r="K30" s="195">
        <v>0.83</v>
      </c>
      <c r="L30" s="195">
        <v>1.01</v>
      </c>
      <c r="M30" s="195">
        <v>0.66</v>
      </c>
      <c r="N30" s="195">
        <v>0.79</v>
      </c>
      <c r="O30" s="195">
        <v>0.2</v>
      </c>
      <c r="P30" s="195">
        <v>0.23</v>
      </c>
      <c r="Q30" s="195">
        <v>0.16</v>
      </c>
      <c r="R30" s="195">
        <v>0.19</v>
      </c>
      <c r="V30" s="199"/>
    </row>
    <row r="31" spans="1:33" x14ac:dyDescent="0.3">
      <c r="A31" s="193" t="s">
        <v>316</v>
      </c>
      <c r="B31" s="205">
        <v>43761</v>
      </c>
      <c r="C31" s="196">
        <v>4.49</v>
      </c>
      <c r="D31" s="196">
        <v>5.4</v>
      </c>
      <c r="E31" s="196">
        <v>2.99</v>
      </c>
      <c r="F31" s="196">
        <v>3.6</v>
      </c>
      <c r="G31" s="196">
        <v>1.99</v>
      </c>
      <c r="H31" s="196">
        <v>2.4</v>
      </c>
      <c r="I31" s="196">
        <v>1.33</v>
      </c>
      <c r="J31" s="196">
        <v>1.6</v>
      </c>
      <c r="K31" s="196">
        <v>1.01</v>
      </c>
      <c r="L31" s="196">
        <v>1.22</v>
      </c>
      <c r="M31" s="196">
        <v>0.8</v>
      </c>
      <c r="N31" s="196">
        <v>0.96</v>
      </c>
      <c r="O31" s="196">
        <v>0.3</v>
      </c>
      <c r="P31" s="196">
        <v>0.36</v>
      </c>
      <c r="Q31" s="196">
        <v>0.25</v>
      </c>
      <c r="R31" s="196">
        <v>0.28999999999999998</v>
      </c>
      <c r="V31" s="200"/>
    </row>
    <row r="32" spans="1:33" x14ac:dyDescent="0.3">
      <c r="A32" s="193" t="s">
        <v>317</v>
      </c>
      <c r="B32" s="205">
        <v>43761</v>
      </c>
      <c r="C32" s="195">
        <v>4.3099999999999996</v>
      </c>
      <c r="D32" s="195">
        <v>5.19</v>
      </c>
      <c r="E32" s="195">
        <v>2.88</v>
      </c>
      <c r="F32" s="195">
        <v>3.46</v>
      </c>
      <c r="G32" s="195">
        <v>1.92</v>
      </c>
      <c r="H32" s="195">
        <v>2.31</v>
      </c>
      <c r="I32" s="195">
        <v>1.28</v>
      </c>
      <c r="J32" s="195">
        <v>1.54</v>
      </c>
      <c r="K32" s="195">
        <v>0.97</v>
      </c>
      <c r="L32" s="195">
        <v>1.17</v>
      </c>
      <c r="M32" s="195">
        <v>0.77</v>
      </c>
      <c r="N32" s="195">
        <v>0.93</v>
      </c>
      <c r="O32" s="195">
        <v>0.37</v>
      </c>
      <c r="P32" s="195">
        <v>0.44</v>
      </c>
      <c r="Q32" s="195">
        <v>0.3</v>
      </c>
      <c r="R32" s="195">
        <v>0.36</v>
      </c>
      <c r="V32" s="199"/>
    </row>
    <row r="33" spans="1:24" x14ac:dyDescent="0.3">
      <c r="A33" s="275" t="s">
        <v>318</v>
      </c>
      <c r="B33" s="275"/>
      <c r="C33" s="201">
        <f t="shared" ref="C33:R33" si="0">AVERAGE(C6:C32)</f>
        <v>4.1314814814814804</v>
      </c>
      <c r="D33" s="201">
        <f t="shared" si="0"/>
        <v>4.9759259259259281</v>
      </c>
      <c r="E33" s="201">
        <f t="shared" si="0"/>
        <v>2.7537037037037031</v>
      </c>
      <c r="F33" s="201">
        <f t="shared" si="0"/>
        <v>3.3174074074074067</v>
      </c>
      <c r="G33" s="201">
        <f t="shared" si="0"/>
        <v>1.835925925925926</v>
      </c>
      <c r="H33" s="201">
        <f t="shared" si="0"/>
        <v>2.2148148148148148</v>
      </c>
      <c r="I33" s="201">
        <f t="shared" si="0"/>
        <v>1.2244444444444444</v>
      </c>
      <c r="J33" s="201">
        <f t="shared" si="0"/>
        <v>1.4740740740740739</v>
      </c>
      <c r="K33" s="201">
        <f t="shared" si="0"/>
        <v>0.9337037037037037</v>
      </c>
      <c r="L33" s="201">
        <f t="shared" si="0"/>
        <v>1.124444444444445</v>
      </c>
      <c r="M33" s="201">
        <f t="shared" si="0"/>
        <v>0.7374074074074074</v>
      </c>
      <c r="N33" s="201">
        <f t="shared" si="0"/>
        <v>0.88777777777777755</v>
      </c>
      <c r="O33" s="201">
        <f t="shared" si="0"/>
        <v>0.24814814814814815</v>
      </c>
      <c r="P33" s="201">
        <f t="shared" si="0"/>
        <v>0.29629629629629634</v>
      </c>
      <c r="Q33" s="201">
        <f t="shared" si="0"/>
        <v>0.20222222222222219</v>
      </c>
      <c r="R33" s="201">
        <f t="shared" si="0"/>
        <v>0.24222222222222228</v>
      </c>
      <c r="V33" s="200"/>
    </row>
    <row r="34" spans="1:24" ht="16.5" customHeight="1" x14ac:dyDescent="0.3">
      <c r="A34" s="276" t="s">
        <v>319</v>
      </c>
      <c r="B34" s="276"/>
      <c r="C34" s="201">
        <f t="shared" ref="C34:R34" si="1">SMALL(C6:C32,27)</f>
        <v>5.6</v>
      </c>
      <c r="D34" s="201">
        <f t="shared" si="1"/>
        <v>6.73</v>
      </c>
      <c r="E34" s="201">
        <f t="shared" si="1"/>
        <v>3.73</v>
      </c>
      <c r="F34" s="201">
        <f t="shared" si="1"/>
        <v>4.4800000000000004</v>
      </c>
      <c r="G34" s="201">
        <f t="shared" si="1"/>
        <v>2.4900000000000002</v>
      </c>
      <c r="H34" s="201">
        <f t="shared" si="1"/>
        <v>2.99</v>
      </c>
      <c r="I34" s="201">
        <f t="shared" si="1"/>
        <v>1.66</v>
      </c>
      <c r="J34" s="201">
        <f t="shared" si="1"/>
        <v>1.99</v>
      </c>
      <c r="K34" s="201">
        <f t="shared" si="1"/>
        <v>1.26</v>
      </c>
      <c r="L34" s="201">
        <f t="shared" si="1"/>
        <v>1.52</v>
      </c>
      <c r="M34" s="201">
        <f t="shared" si="1"/>
        <v>1</v>
      </c>
      <c r="N34" s="201">
        <f t="shared" si="1"/>
        <v>1.2</v>
      </c>
      <c r="O34" s="201">
        <f t="shared" si="1"/>
        <v>0.4</v>
      </c>
      <c r="P34" s="201">
        <f t="shared" si="1"/>
        <v>0.48</v>
      </c>
      <c r="Q34" s="201">
        <f t="shared" si="1"/>
        <v>0.33</v>
      </c>
      <c r="R34" s="201">
        <f t="shared" si="1"/>
        <v>0.39</v>
      </c>
      <c r="V34" s="199"/>
      <c r="X34" s="209"/>
    </row>
    <row r="35" spans="1:24" ht="16.5" customHeight="1" x14ac:dyDescent="0.3">
      <c r="A35" s="276" t="s">
        <v>320</v>
      </c>
      <c r="B35" s="276"/>
      <c r="C35" s="201">
        <f t="shared" ref="C35:R35" si="2">LARGE(C7:C33,27)</f>
        <v>3.47</v>
      </c>
      <c r="D35" s="201">
        <f t="shared" si="2"/>
        <v>4.18</v>
      </c>
      <c r="E35" s="201">
        <f t="shared" si="2"/>
        <v>2.31</v>
      </c>
      <c r="F35" s="201">
        <f t="shared" si="2"/>
        <v>2.79</v>
      </c>
      <c r="G35" s="201">
        <f t="shared" si="2"/>
        <v>1.54</v>
      </c>
      <c r="H35" s="201">
        <f t="shared" si="2"/>
        <v>1.86</v>
      </c>
      <c r="I35" s="201">
        <f t="shared" si="2"/>
        <v>1.03</v>
      </c>
      <c r="J35" s="201">
        <f t="shared" si="2"/>
        <v>1.24</v>
      </c>
      <c r="K35" s="201">
        <f t="shared" si="2"/>
        <v>0.78</v>
      </c>
      <c r="L35" s="201">
        <f t="shared" si="2"/>
        <v>0.94</v>
      </c>
      <c r="M35" s="201">
        <f t="shared" si="2"/>
        <v>0.62</v>
      </c>
      <c r="N35" s="201">
        <f t="shared" si="2"/>
        <v>0.75</v>
      </c>
      <c r="O35" s="201">
        <f t="shared" si="2"/>
        <v>0.18</v>
      </c>
      <c r="P35" s="201">
        <f t="shared" si="2"/>
        <v>0.22</v>
      </c>
      <c r="Q35" s="201">
        <f t="shared" si="2"/>
        <v>0.15</v>
      </c>
      <c r="R35" s="201">
        <f t="shared" si="2"/>
        <v>0.18</v>
      </c>
      <c r="V35" s="200"/>
      <c r="X35" s="210"/>
    </row>
  </sheetData>
  <sheetProtection sheet="1" objects="1" scenarios="1"/>
  <mergeCells count="9">
    <mergeCell ref="O2:R3"/>
    <mergeCell ref="A33:B33"/>
    <mergeCell ref="A34:B34"/>
    <mergeCell ref="A35:B35"/>
    <mergeCell ref="A2:A5"/>
    <mergeCell ref="B2:B5"/>
    <mergeCell ref="C2:F3"/>
    <mergeCell ref="G2:J3"/>
    <mergeCell ref="K2:N3"/>
  </mergeCells>
  <printOptions horizontalCentered="1" verticalCentered="1"/>
  <pageMargins left="0.15763888888888899" right="0.196527777777778" top="0.17013888888888901" bottom="0.15763888888888899" header="0.51180555555555496" footer="0.51180555555555496"/>
  <pageSetup paperSize="9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90" zoomScaleNormal="90" workbookViewId="0"/>
  </sheetViews>
  <sheetFormatPr defaultRowHeight="12.75" x14ac:dyDescent="0.2"/>
  <cols>
    <col min="1" max="1" width="21.5703125" customWidth="1"/>
    <col min="2" max="2" width="21" customWidth="1"/>
    <col min="3" max="3" width="18.42578125" customWidth="1"/>
    <col min="4" max="4" width="14.7109375" customWidth="1"/>
    <col min="5" max="1025" width="8.7109375" customWidth="1"/>
  </cols>
  <sheetData>
    <row r="1" spans="1:4" ht="20.25" customHeight="1" x14ac:dyDescent="0.2">
      <c r="A1" s="280" t="s">
        <v>329</v>
      </c>
      <c r="B1" s="280"/>
      <c r="C1" s="280"/>
      <c r="D1" s="280"/>
    </row>
    <row r="2" spans="1:4" ht="12.75" customHeight="1" x14ac:dyDescent="0.2">
      <c r="A2" s="6" t="s">
        <v>252</v>
      </c>
      <c r="B2" s="6" t="s">
        <v>253</v>
      </c>
      <c r="C2" s="281" t="s">
        <v>330</v>
      </c>
      <c r="D2" s="6" t="s">
        <v>331</v>
      </c>
    </row>
    <row r="3" spans="1:4" ht="36" customHeight="1" x14ac:dyDescent="0.2">
      <c r="A3" s="6"/>
      <c r="B3" s="6"/>
      <c r="C3" s="281"/>
      <c r="D3" s="6"/>
    </row>
    <row r="4" spans="1:4" ht="16.5" x14ac:dyDescent="0.2">
      <c r="A4" s="6"/>
      <c r="B4" s="22" t="s">
        <v>26</v>
      </c>
      <c r="C4" s="22" t="s">
        <v>332</v>
      </c>
      <c r="D4" s="22" t="s">
        <v>333</v>
      </c>
    </row>
    <row r="5" spans="1:4" ht="16.5" x14ac:dyDescent="0.2">
      <c r="A5" s="211" t="s">
        <v>28</v>
      </c>
      <c r="B5" s="212">
        <f>AREA_INTERNA_TOTAL</f>
        <v>2167.71</v>
      </c>
      <c r="C5" s="213">
        <f>PRODUT_AREA_INTERNA</f>
        <v>800</v>
      </c>
      <c r="D5" s="214">
        <f>IFERROR(AREA_INTERNA_TOTAL/PRODUT_AREA_INTERNA,0)</f>
        <v>2.7096374999999999</v>
      </c>
    </row>
    <row r="6" spans="1:4" ht="16.5" x14ac:dyDescent="0.2">
      <c r="A6" s="211" t="s">
        <v>30</v>
      </c>
      <c r="B6" s="215">
        <f>AREA_EXTERNA_TOTAL</f>
        <v>985</v>
      </c>
      <c r="C6" s="216">
        <f>PRODUT_AREA_EXTERNA</f>
        <v>1800</v>
      </c>
      <c r="D6" s="217">
        <f>IFERROR(AREA_EXTERNA_TOTAL/PRODUT_AREA_EXTERNA,0)</f>
        <v>0.54722222222222228</v>
      </c>
    </row>
    <row r="7" spans="1:4" ht="16.5" x14ac:dyDescent="0.2">
      <c r="A7" s="211" t="s">
        <v>33</v>
      </c>
      <c r="B7" s="212">
        <f>AREA_ESQ_EXTERNA_TOTAL</f>
        <v>381.1</v>
      </c>
      <c r="C7" s="213">
        <f>PRODUT_AREA_ESQ_EXTERNA</f>
        <v>300</v>
      </c>
      <c r="D7" s="214">
        <f>IFERROR((AREA_ESQ_EXTERNA_TOTAL*(COEF_KI_ESQ_EXTERNA_ENC+COEF_KI_ESQ_EXTERNA_SERV)),0)</f>
        <v>0.10778585858585861</v>
      </c>
    </row>
    <row r="8" spans="1:4" ht="16.5" x14ac:dyDescent="0.2">
      <c r="A8" s="211" t="s">
        <v>37</v>
      </c>
      <c r="B8" s="215">
        <f>AREA_FACHADA_ENVID_TOTAL</f>
        <v>160.16999999999999</v>
      </c>
      <c r="C8" s="216">
        <f>PRODUT_AREA_FACHADA_ENVID</f>
        <v>130</v>
      </c>
      <c r="D8" s="217">
        <f>IFERROR(AREA_FACHADA_ENVID_TOTAL*(COEF_KI_FACHADA_ENVID_ENC+COEF_KI_ESQ_EXTERNA_SERV),0)</f>
        <v>4.5300606060606062E-2</v>
      </c>
    </row>
    <row r="9" spans="1:4" ht="16.5" x14ac:dyDescent="0.2">
      <c r="A9" s="211" t="s">
        <v>41</v>
      </c>
      <c r="B9" s="212">
        <f>AREA_MED_HOSP_TOTAL</f>
        <v>0</v>
      </c>
      <c r="C9" s="213">
        <f>PRODUT_AREA_HOSPITALAR</f>
        <v>0</v>
      </c>
      <c r="D9" s="214">
        <f>IFERROR(AREA_MED_HOSP_TOTAL/PRODUT_AREA_HOSPITALAR,0)</f>
        <v>0</v>
      </c>
    </row>
    <row r="10" spans="1:4" ht="16.5" x14ac:dyDescent="0.2">
      <c r="A10" s="282" t="s">
        <v>329</v>
      </c>
      <c r="B10" s="282"/>
      <c r="C10" s="282"/>
      <c r="D10" s="218">
        <f>TRUNC(SUM(D5:D9),0)</f>
        <v>3</v>
      </c>
    </row>
  </sheetData>
  <sheetProtection sheet="1" objects="1" scenarios="1"/>
  <mergeCells count="6">
    <mergeCell ref="A10:C10"/>
    <mergeCell ref="A1:D1"/>
    <mergeCell ref="A2:A4"/>
    <mergeCell ref="B2:B3"/>
    <mergeCell ref="C2:C3"/>
    <mergeCell ref="D2:D3"/>
  </mergeCells>
  <printOptions horizontalCentered="1"/>
  <pageMargins left="0.51180555555555496" right="0.51180555555555496" top="0.35416666666666702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5"/>
  <sheetViews>
    <sheetView topLeftCell="A13" zoomScale="90" zoomScaleNormal="90" workbookViewId="0">
      <selection activeCell="H38" sqref="H38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7109375" style="15" customWidth="1"/>
    <col min="5" max="5" width="12" style="15" customWidth="1"/>
    <col min="6" max="6" width="17" style="15" customWidth="1"/>
    <col min="7" max="1025" width="9.140625" style="15" customWidth="1"/>
  </cols>
  <sheetData>
    <row r="1" spans="1:6" s="18" customFormat="1" ht="25.5" x14ac:dyDescent="0.5">
      <c r="B1" s="59" t="s">
        <v>127</v>
      </c>
      <c r="C1" s="15"/>
      <c r="D1" s="15"/>
      <c r="E1" s="15"/>
      <c r="F1" s="15"/>
    </row>
    <row r="2" spans="1:6" x14ac:dyDescent="0.3">
      <c r="B2" s="60" t="s">
        <v>74</v>
      </c>
      <c r="E2" s="61"/>
      <c r="F2" s="61"/>
    </row>
    <row r="3" spans="1:6" ht="33" customHeight="1" x14ac:dyDescent="0.3">
      <c r="B3" s="33">
        <v>1</v>
      </c>
      <c r="C3" s="226" t="s">
        <v>75</v>
      </c>
      <c r="D3" s="226"/>
      <c r="E3" s="226"/>
      <c r="F3" s="22" t="s">
        <v>128</v>
      </c>
    </row>
    <row r="4" spans="1:6" ht="16.5" customHeight="1" x14ac:dyDescent="0.3">
      <c r="B4" s="33" t="s">
        <v>31</v>
      </c>
      <c r="C4" s="236" t="s">
        <v>129</v>
      </c>
      <c r="D4" s="236"/>
      <c r="E4" s="236"/>
      <c r="F4" s="86">
        <v>220</v>
      </c>
    </row>
    <row r="5" spans="1:6" ht="16.5" customHeight="1" x14ac:dyDescent="0.3">
      <c r="B5" s="33" t="s">
        <v>34</v>
      </c>
      <c r="C5" s="227" t="s">
        <v>130</v>
      </c>
      <c r="D5" s="227"/>
      <c r="E5" s="227"/>
      <c r="F5" s="87">
        <v>7</v>
      </c>
    </row>
    <row r="6" spans="1:6" ht="16.5" customHeight="1" x14ac:dyDescent="0.3">
      <c r="B6" s="33" t="s">
        <v>38</v>
      </c>
      <c r="C6" s="236" t="s">
        <v>131</v>
      </c>
      <c r="D6" s="236"/>
      <c r="E6" s="236"/>
      <c r="F6" s="86">
        <v>365</v>
      </c>
    </row>
    <row r="7" spans="1:6" ht="16.5" customHeight="1" x14ac:dyDescent="0.3">
      <c r="B7" s="33" t="s">
        <v>42</v>
      </c>
      <c r="C7" s="227" t="s">
        <v>132</v>
      </c>
      <c r="D7" s="227"/>
      <c r="E7" s="227"/>
      <c r="F7" s="88">
        <v>15.2</v>
      </c>
    </row>
    <row r="8" spans="1:6" ht="16.5" customHeight="1" x14ac:dyDescent="0.3">
      <c r="B8" s="33" t="s">
        <v>45</v>
      </c>
      <c r="C8" s="236" t="s">
        <v>133</v>
      </c>
      <c r="D8" s="236"/>
      <c r="E8" s="236"/>
      <c r="F8" s="86">
        <v>12</v>
      </c>
    </row>
    <row r="9" spans="1:6" ht="16.5" customHeight="1" x14ac:dyDescent="0.3">
      <c r="B9" s="33" t="s">
        <v>94</v>
      </c>
      <c r="C9" s="227" t="s">
        <v>134</v>
      </c>
      <c r="D9" s="227"/>
      <c r="E9" s="227"/>
      <c r="F9" s="87">
        <v>6</v>
      </c>
    </row>
    <row r="10" spans="1:6" ht="16.5" customHeight="1" x14ac:dyDescent="0.3">
      <c r="B10" s="33" t="s">
        <v>135</v>
      </c>
      <c r="C10" s="231" t="s">
        <v>136</v>
      </c>
      <c r="D10" s="231"/>
      <c r="E10" s="231"/>
      <c r="F10" s="86">
        <v>60</v>
      </c>
    </row>
    <row r="11" spans="1:6" ht="16.5" customHeight="1" x14ac:dyDescent="0.3">
      <c r="B11" s="33" t="s">
        <v>137</v>
      </c>
      <c r="C11" s="227" t="s">
        <v>138</v>
      </c>
      <c r="D11" s="227"/>
      <c r="E11" s="227"/>
      <c r="F11" s="87">
        <v>44</v>
      </c>
    </row>
    <row r="12" spans="1:6" s="64" customFormat="1" x14ac:dyDescent="0.3"/>
    <row r="13" spans="1:6" s="64" customFormat="1" x14ac:dyDescent="0.3">
      <c r="A13" s="15"/>
      <c r="B13" s="60" t="s">
        <v>81</v>
      </c>
      <c r="C13" s="15"/>
      <c r="D13" s="15"/>
      <c r="E13" s="65"/>
      <c r="F13" s="65"/>
    </row>
    <row r="14" spans="1:6" s="64" customFormat="1" x14ac:dyDescent="0.3">
      <c r="A14" s="15"/>
      <c r="B14" s="60" t="s">
        <v>82</v>
      </c>
      <c r="C14" s="24"/>
      <c r="D14" s="24"/>
      <c r="E14" s="24"/>
      <c r="F14" s="24"/>
    </row>
    <row r="15" spans="1:6" s="64" customFormat="1" ht="15" customHeight="1" x14ac:dyDescent="0.3">
      <c r="A15" s="15"/>
      <c r="B15" s="33" t="s">
        <v>83</v>
      </c>
      <c r="C15" s="226" t="s">
        <v>84</v>
      </c>
      <c r="D15" s="226"/>
      <c r="E15" s="22" t="s">
        <v>85</v>
      </c>
      <c r="F15" s="22" t="s">
        <v>139</v>
      </c>
    </row>
    <row r="16" spans="1:6" s="64" customFormat="1" x14ac:dyDescent="0.3">
      <c r="B16" s="66" t="s">
        <v>31</v>
      </c>
      <c r="C16" s="5" t="s">
        <v>140</v>
      </c>
      <c r="D16" s="5"/>
      <c r="E16" s="68" t="s">
        <v>91</v>
      </c>
      <c r="F16" s="89">
        <v>6</v>
      </c>
    </row>
    <row r="17" spans="1:6" s="64" customFormat="1" x14ac:dyDescent="0.3"/>
    <row r="18" spans="1:6" s="18" customFormat="1" x14ac:dyDescent="0.3">
      <c r="A18" s="64"/>
      <c r="B18" s="60" t="s">
        <v>141</v>
      </c>
      <c r="C18" s="71"/>
      <c r="D18" s="72"/>
      <c r="E18" s="73"/>
      <c r="F18" s="73"/>
    </row>
    <row r="19" spans="1:6" s="18" customFormat="1" x14ac:dyDescent="0.3">
      <c r="A19" s="64"/>
      <c r="B19" s="33">
        <v>3</v>
      </c>
      <c r="C19" s="230" t="s">
        <v>142</v>
      </c>
      <c r="D19" s="230"/>
      <c r="E19" s="230"/>
      <c r="F19" s="22" t="s">
        <v>139</v>
      </c>
    </row>
    <row r="20" spans="1:6" s="18" customFormat="1" ht="16.5" customHeight="1" x14ac:dyDescent="0.3">
      <c r="A20" s="64"/>
      <c r="B20" s="33" t="s">
        <v>31</v>
      </c>
      <c r="C20" s="236" t="s">
        <v>143</v>
      </c>
      <c r="D20" s="236"/>
      <c r="E20" s="236"/>
      <c r="F20" s="90">
        <v>56.24</v>
      </c>
    </row>
    <row r="21" spans="1:6" x14ac:dyDescent="0.3">
      <c r="A21" s="64"/>
      <c r="B21" s="22" t="s">
        <v>34</v>
      </c>
      <c r="C21" s="238" t="s">
        <v>144</v>
      </c>
      <c r="D21" s="238"/>
      <c r="E21" s="238"/>
      <c r="F21" s="91">
        <v>5.55</v>
      </c>
    </row>
    <row r="22" spans="1:6" s="18" customFormat="1" ht="15.95" customHeight="1" x14ac:dyDescent="0.15">
      <c r="B22" s="22" t="s">
        <v>38</v>
      </c>
      <c r="C22" s="236" t="s">
        <v>145</v>
      </c>
      <c r="D22" s="236"/>
      <c r="E22" s="236"/>
      <c r="F22" s="92">
        <v>40</v>
      </c>
    </row>
    <row r="23" spans="1:6" s="18" customFormat="1" ht="15.95" customHeight="1" x14ac:dyDescent="0.3">
      <c r="A23" s="64"/>
      <c r="B23" s="22" t="s">
        <v>42</v>
      </c>
      <c r="C23" s="238" t="s">
        <v>146</v>
      </c>
      <c r="D23" s="238"/>
      <c r="E23" s="238"/>
      <c r="F23" s="89">
        <v>10</v>
      </c>
    </row>
    <row r="24" spans="1:6" ht="16.5" customHeight="1" x14ac:dyDescent="0.3">
      <c r="A24" s="64"/>
      <c r="B24" s="22" t="s">
        <v>45</v>
      </c>
      <c r="C24" s="236" t="s">
        <v>147</v>
      </c>
      <c r="D24" s="236"/>
      <c r="E24" s="236"/>
      <c r="F24" s="90">
        <v>94.45</v>
      </c>
    </row>
    <row r="25" spans="1:6" x14ac:dyDescent="0.3">
      <c r="A25" s="64"/>
      <c r="B25" s="22" t="s">
        <v>94</v>
      </c>
      <c r="C25" s="238" t="s">
        <v>148</v>
      </c>
      <c r="D25" s="238"/>
      <c r="E25" s="238"/>
      <c r="F25" s="89">
        <v>30</v>
      </c>
    </row>
    <row r="26" spans="1:6" s="64" customFormat="1" x14ac:dyDescent="0.3"/>
    <row r="27" spans="1:6" s="18" customFormat="1" x14ac:dyDescent="0.3">
      <c r="B27" s="60" t="s">
        <v>96</v>
      </c>
      <c r="C27" s="71"/>
      <c r="D27" s="72"/>
      <c r="E27" s="15"/>
      <c r="F27" s="15"/>
    </row>
    <row r="28" spans="1:6" s="18" customFormat="1" ht="15" customHeight="1" x14ac:dyDescent="0.3">
      <c r="B28" s="60" t="s">
        <v>97</v>
      </c>
      <c r="C28" s="71"/>
      <c r="D28" s="72"/>
      <c r="E28" s="73"/>
      <c r="F28" s="73"/>
    </row>
    <row r="29" spans="1:6" s="18" customFormat="1" ht="16.5" customHeight="1" x14ac:dyDescent="0.15">
      <c r="B29" s="33" t="s">
        <v>98</v>
      </c>
      <c r="C29" s="226" t="s">
        <v>99</v>
      </c>
      <c r="D29" s="226"/>
      <c r="E29" s="226"/>
      <c r="F29" s="22" t="s">
        <v>139</v>
      </c>
    </row>
    <row r="30" spans="1:6" s="18" customFormat="1" ht="16.5" customHeight="1" x14ac:dyDescent="0.15">
      <c r="B30" s="33" t="s">
        <v>31</v>
      </c>
      <c r="C30" s="236" t="s">
        <v>149</v>
      </c>
      <c r="D30" s="236"/>
      <c r="E30" s="236"/>
      <c r="F30" s="92">
        <v>8</v>
      </c>
    </row>
    <row r="31" spans="1:6" ht="16.5" customHeight="1" x14ac:dyDescent="0.3">
      <c r="A31" s="18"/>
      <c r="B31" s="22" t="s">
        <v>34</v>
      </c>
      <c r="C31" s="1" t="s">
        <v>150</v>
      </c>
      <c r="D31" s="1"/>
      <c r="E31" s="1"/>
      <c r="F31" s="89">
        <v>20</v>
      </c>
    </row>
    <row r="32" spans="1:6" ht="16.5" customHeight="1" x14ac:dyDescent="0.3">
      <c r="A32" s="18"/>
      <c r="B32" s="22" t="s">
        <v>38</v>
      </c>
      <c r="C32" s="236" t="s">
        <v>151</v>
      </c>
      <c r="D32" s="236"/>
      <c r="E32" s="236"/>
      <c r="F32" s="90">
        <v>1.42</v>
      </c>
    </row>
    <row r="33" spans="1:6" ht="16.5" customHeight="1" x14ac:dyDescent="0.3">
      <c r="A33" s="18"/>
      <c r="B33" s="22" t="s">
        <v>42</v>
      </c>
      <c r="C33" s="1" t="s">
        <v>152</v>
      </c>
      <c r="D33" s="1"/>
      <c r="E33" s="1"/>
      <c r="F33" s="91">
        <v>45.22</v>
      </c>
    </row>
    <row r="34" spans="1:6" s="18" customFormat="1" ht="15.95" customHeight="1" x14ac:dyDescent="0.3">
      <c r="A34" s="15"/>
      <c r="B34" s="22" t="s">
        <v>45</v>
      </c>
      <c r="C34" s="236" t="s">
        <v>153</v>
      </c>
      <c r="D34" s="236"/>
      <c r="E34" s="236"/>
      <c r="F34" s="90">
        <f>(154800/34808000)*100</f>
        <v>0.44472535049413925</v>
      </c>
    </row>
    <row r="35" spans="1:6" ht="15.75" customHeight="1" x14ac:dyDescent="0.3">
      <c r="A35" s="18"/>
      <c r="B35" s="22" t="s">
        <v>94</v>
      </c>
      <c r="C35" s="1" t="s">
        <v>154</v>
      </c>
      <c r="D35" s="1"/>
      <c r="E35" s="1"/>
      <c r="F35" s="89">
        <v>15</v>
      </c>
    </row>
    <row r="36" spans="1:6" ht="15.75" customHeight="1" x14ac:dyDescent="0.3">
      <c r="A36" s="18"/>
      <c r="B36" s="22" t="s">
        <v>135</v>
      </c>
      <c r="C36" s="236" t="s">
        <v>155</v>
      </c>
      <c r="D36" s="236"/>
      <c r="E36" s="236"/>
      <c r="F36" s="92">
        <v>180</v>
      </c>
    </row>
    <row r="37" spans="1:6" ht="16.5" customHeight="1" x14ac:dyDescent="0.3">
      <c r="A37" s="18"/>
      <c r="B37" s="22" t="s">
        <v>137</v>
      </c>
      <c r="C37" s="1" t="s">
        <v>156</v>
      </c>
      <c r="D37" s="1"/>
      <c r="E37" s="1"/>
      <c r="F37" s="91">
        <v>54.78</v>
      </c>
    </row>
    <row r="38" spans="1:6" s="64" customFormat="1" ht="8.25" customHeight="1" x14ac:dyDescent="0.3"/>
    <row r="39" spans="1:6" x14ac:dyDescent="0.3">
      <c r="B39" s="60" t="s">
        <v>157</v>
      </c>
      <c r="C39" s="71"/>
      <c r="D39" s="72"/>
      <c r="E39" s="73"/>
      <c r="F39" s="73"/>
    </row>
    <row r="40" spans="1:6" x14ac:dyDescent="0.3">
      <c r="B40" s="33" t="s">
        <v>103</v>
      </c>
      <c r="C40" s="230" t="s">
        <v>158</v>
      </c>
      <c r="D40" s="230"/>
      <c r="E40" s="230"/>
      <c r="F40" s="22" t="s">
        <v>159</v>
      </c>
    </row>
    <row r="41" spans="1:6" ht="16.5" customHeight="1" x14ac:dyDescent="0.3">
      <c r="B41" s="33" t="s">
        <v>31</v>
      </c>
      <c r="C41" s="231" t="s">
        <v>106</v>
      </c>
      <c r="D41" s="231"/>
      <c r="E41" s="231"/>
      <c r="F41" s="86">
        <f>PERC_HORA_EXTRA</f>
        <v>0</v>
      </c>
    </row>
    <row r="42" spans="1:6" ht="15" customHeight="1" x14ac:dyDescent="0.3">
      <c r="B42" s="33" t="s">
        <v>34</v>
      </c>
      <c r="C42" s="1" t="s">
        <v>107</v>
      </c>
      <c r="D42" s="1"/>
      <c r="E42" s="1"/>
      <c r="F42" s="87">
        <f>TEMPO_INTERVALO_REFEICAO</f>
        <v>0</v>
      </c>
    </row>
    <row r="43" spans="1:6" s="64" customFormat="1" x14ac:dyDescent="0.3"/>
    <row r="44" spans="1:6" ht="20.25" x14ac:dyDescent="0.3">
      <c r="B44" s="83" t="s">
        <v>125</v>
      </c>
      <c r="C44" s="84"/>
      <c r="D44" s="84"/>
      <c r="E44" s="84"/>
      <c r="F44" s="85"/>
    </row>
    <row r="45" spans="1:6" ht="33.75" customHeight="1" x14ac:dyDescent="0.3">
      <c r="B45" s="237" t="s">
        <v>126</v>
      </c>
      <c r="C45" s="237"/>
      <c r="D45" s="237"/>
      <c r="E45" s="237"/>
      <c r="F45" s="237"/>
    </row>
  </sheetData>
  <sheetProtection sheet="1" objects="1" scenarios="1"/>
  <mergeCells count="31">
    <mergeCell ref="B45:F45"/>
    <mergeCell ref="C36:E36"/>
    <mergeCell ref="C37:E37"/>
    <mergeCell ref="C40:E40"/>
    <mergeCell ref="C41:E41"/>
    <mergeCell ref="C42:E42"/>
    <mergeCell ref="C31:E31"/>
    <mergeCell ref="C32:E32"/>
    <mergeCell ref="C33:E33"/>
    <mergeCell ref="C34:E34"/>
    <mergeCell ref="C35:E35"/>
    <mergeCell ref="C23:E23"/>
    <mergeCell ref="C24:E24"/>
    <mergeCell ref="C25:E25"/>
    <mergeCell ref="C29:E29"/>
    <mergeCell ref="C30:E30"/>
    <mergeCell ref="C16:D16"/>
    <mergeCell ref="C19:E19"/>
    <mergeCell ref="C20:E20"/>
    <mergeCell ref="C21:E21"/>
    <mergeCell ref="C22:E22"/>
    <mergeCell ref="C8:E8"/>
    <mergeCell ref="C9:E9"/>
    <mergeCell ref="C10:E10"/>
    <mergeCell ref="C11:E11"/>
    <mergeCell ref="C15:D15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41:F42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90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topLeftCell="B16" zoomScale="90" zoomScaleNormal="90" workbookViewId="0">
      <selection activeCell="F12" sqref="F12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22" style="15" customWidth="1"/>
    <col min="5" max="5" width="13.5703125" style="15" customWidth="1"/>
    <col min="6" max="6" width="38.85546875" style="15" customWidth="1"/>
    <col min="7" max="7" width="50.42578125" style="15" customWidth="1"/>
    <col min="8" max="1025" width="9.140625" style="15" customWidth="1"/>
  </cols>
  <sheetData>
    <row r="1" spans="2:7" s="18" customFormat="1" ht="25.5" x14ac:dyDescent="0.5">
      <c r="B1" s="59" t="s">
        <v>160</v>
      </c>
      <c r="C1" s="15"/>
      <c r="D1" s="15"/>
      <c r="E1" s="15"/>
      <c r="F1" s="15"/>
      <c r="G1" s="15"/>
    </row>
    <row r="2" spans="2:7" x14ac:dyDescent="0.3">
      <c r="B2" s="60" t="s">
        <v>81</v>
      </c>
      <c r="E2" s="65"/>
    </row>
    <row r="3" spans="2:7" x14ac:dyDescent="0.3">
      <c r="B3" s="60" t="s">
        <v>161</v>
      </c>
      <c r="C3" s="71"/>
      <c r="D3" s="72"/>
      <c r="E3" s="73"/>
    </row>
    <row r="4" spans="2:7" x14ac:dyDescent="0.3">
      <c r="B4" s="33" t="s">
        <v>162</v>
      </c>
      <c r="C4" s="230" t="s">
        <v>163</v>
      </c>
      <c r="D4" s="230"/>
      <c r="E4" s="22" t="s">
        <v>100</v>
      </c>
      <c r="F4" s="22" t="s">
        <v>164</v>
      </c>
    </row>
    <row r="5" spans="2:7" ht="16.5" customHeight="1" x14ac:dyDescent="0.3">
      <c r="B5" s="33" t="s">
        <v>31</v>
      </c>
      <c r="C5" s="236" t="s">
        <v>165</v>
      </c>
      <c r="D5" s="236"/>
      <c r="E5" s="93">
        <f>(1/MESES_NO_ANO)*100</f>
        <v>8.3333333333333321</v>
      </c>
      <c r="F5" s="93" t="s">
        <v>166</v>
      </c>
    </row>
    <row r="6" spans="2:7" s="94" customFormat="1" ht="16.5" customHeight="1" x14ac:dyDescent="0.3">
      <c r="B6" s="22" t="s">
        <v>34</v>
      </c>
      <c r="C6" s="1" t="s">
        <v>167</v>
      </c>
      <c r="D6" s="1"/>
      <c r="E6" s="95">
        <f>(1/3)/MESES_NO_ANO*100</f>
        <v>2.7777777777777777</v>
      </c>
      <c r="F6" s="95" t="s">
        <v>168</v>
      </c>
    </row>
    <row r="7" spans="2:7" s="64" customFormat="1" ht="16.5" customHeight="1" x14ac:dyDescent="0.3">
      <c r="B7" s="239" t="s">
        <v>169</v>
      </c>
      <c r="C7" s="239"/>
      <c r="D7" s="239"/>
      <c r="E7" s="239"/>
      <c r="F7" s="239"/>
    </row>
    <row r="8" spans="2:7" s="64" customFormat="1" ht="34.5" customHeight="1" x14ac:dyDescent="0.3">
      <c r="B8" s="33" t="s">
        <v>170</v>
      </c>
      <c r="C8" s="240" t="s">
        <v>171</v>
      </c>
      <c r="D8" s="240"/>
      <c r="E8" s="22" t="s">
        <v>100</v>
      </c>
    </row>
    <row r="9" spans="2:7" ht="16.5" customHeight="1" x14ac:dyDescent="0.3">
      <c r="B9" s="33" t="s">
        <v>31</v>
      </c>
      <c r="C9" s="236" t="s">
        <v>172</v>
      </c>
      <c r="D9" s="236"/>
      <c r="E9" s="93">
        <v>20</v>
      </c>
    </row>
    <row r="10" spans="2:7" s="18" customFormat="1" ht="16.5" customHeight="1" x14ac:dyDescent="0.15">
      <c r="B10" s="22" t="s">
        <v>34</v>
      </c>
      <c r="C10" s="1" t="s">
        <v>173</v>
      </c>
      <c r="D10" s="1"/>
      <c r="E10" s="96">
        <v>2.5</v>
      </c>
    </row>
    <row r="11" spans="2:7" s="18" customFormat="1" ht="16.5" customHeight="1" x14ac:dyDescent="0.15">
      <c r="B11" s="22" t="s">
        <v>38</v>
      </c>
      <c r="C11" s="236" t="s">
        <v>174</v>
      </c>
      <c r="D11" s="236"/>
      <c r="E11" s="93">
        <v>3</v>
      </c>
    </row>
    <row r="12" spans="2:7" s="18" customFormat="1" ht="16.5" customHeight="1" x14ac:dyDescent="0.15">
      <c r="B12" s="22" t="s">
        <v>42</v>
      </c>
      <c r="C12" s="1" t="s">
        <v>175</v>
      </c>
      <c r="D12" s="1"/>
      <c r="E12" s="95">
        <v>1.5</v>
      </c>
    </row>
    <row r="13" spans="2:7" s="18" customFormat="1" ht="16.5" customHeight="1" x14ac:dyDescent="0.15">
      <c r="B13" s="22" t="s">
        <v>45</v>
      </c>
      <c r="C13" s="236" t="s">
        <v>176</v>
      </c>
      <c r="D13" s="236"/>
      <c r="E13" s="93">
        <v>1</v>
      </c>
    </row>
    <row r="14" spans="2:7" s="24" customFormat="1" ht="16.5" customHeight="1" x14ac:dyDescent="0.15">
      <c r="B14" s="22" t="s">
        <v>94</v>
      </c>
      <c r="C14" s="1" t="s">
        <v>177</v>
      </c>
      <c r="D14" s="1"/>
      <c r="E14" s="96">
        <v>0.6</v>
      </c>
    </row>
    <row r="15" spans="2:7" s="24" customFormat="1" ht="16.5" customHeight="1" x14ac:dyDescent="0.15">
      <c r="B15" s="22" t="s">
        <v>135</v>
      </c>
      <c r="C15" s="236" t="s">
        <v>178</v>
      </c>
      <c r="D15" s="236"/>
      <c r="E15" s="93">
        <v>0.2</v>
      </c>
    </row>
    <row r="16" spans="2:7" ht="16.5" customHeight="1" x14ac:dyDescent="0.3">
      <c r="B16" s="22" t="s">
        <v>137</v>
      </c>
      <c r="C16" s="1" t="s">
        <v>179</v>
      </c>
      <c r="D16" s="1"/>
      <c r="E16" s="96">
        <v>8</v>
      </c>
    </row>
    <row r="17" spans="2:6" x14ac:dyDescent="0.3">
      <c r="B17" s="230" t="s">
        <v>15</v>
      </c>
      <c r="C17" s="230"/>
      <c r="D17" s="230"/>
      <c r="E17" s="97">
        <f>SUM(E9:E16)</f>
        <v>36.799999999999997</v>
      </c>
    </row>
    <row r="18" spans="2:6" s="64" customFormat="1" x14ac:dyDescent="0.3">
      <c r="B18" s="60" t="s">
        <v>141</v>
      </c>
      <c r="C18" s="71"/>
      <c r="D18" s="72"/>
      <c r="E18" s="73"/>
    </row>
    <row r="19" spans="2:6" s="64" customFormat="1" ht="15" customHeight="1" x14ac:dyDescent="0.3">
      <c r="B19" s="33">
        <v>3</v>
      </c>
      <c r="C19" s="230" t="s">
        <v>142</v>
      </c>
      <c r="D19" s="230"/>
      <c r="E19" s="22" t="s">
        <v>100</v>
      </c>
      <c r="F19" s="22" t="s">
        <v>164</v>
      </c>
    </row>
    <row r="20" spans="2:6" s="64" customFormat="1" x14ac:dyDescent="0.3">
      <c r="B20" s="33" t="s">
        <v>31</v>
      </c>
      <c r="C20" s="241" t="s">
        <v>180</v>
      </c>
      <c r="D20" s="241"/>
      <c r="E20" s="93">
        <f>PERC_EMPREG_DEMIT_SEM_JUSTA_CAUSA_TOTAL_DESLIG%*PERC_EMPREG_AVISO_PREVIO_IND%*1/MESES_NO_ANO*100</f>
        <v>0.26011000000000001</v>
      </c>
      <c r="F20" s="93" t="s">
        <v>181</v>
      </c>
    </row>
    <row r="21" spans="2:6" s="64" customFormat="1" x14ac:dyDescent="0.3">
      <c r="B21" s="22" t="s">
        <v>34</v>
      </c>
      <c r="C21" s="242" t="s">
        <v>182</v>
      </c>
      <c r="D21" s="242"/>
      <c r="E21" s="96">
        <f>PERC_FGTS%*PERC_AVISO_PREVIO_IND</f>
        <v>2.0808800000000002E-2</v>
      </c>
      <c r="F21" s="95" t="s">
        <v>183</v>
      </c>
    </row>
    <row r="22" spans="2:6" s="18" customFormat="1" x14ac:dyDescent="0.15">
      <c r="B22" s="22" t="s">
        <v>38</v>
      </c>
      <c r="C22" s="241" t="s">
        <v>184</v>
      </c>
      <c r="D22" s="241"/>
      <c r="E22" s="93">
        <f>PERC_AVISO_PREVIO_IND%*(PERC_MULTA_FGTS%+PERC_CONTRIB_SOCIAL%)*PERC_FGTS%*100</f>
        <v>1.0404400000000001E-2</v>
      </c>
      <c r="F22" s="93" t="s">
        <v>185</v>
      </c>
    </row>
    <row r="23" spans="2:6" s="64" customFormat="1" x14ac:dyDescent="0.3">
      <c r="B23" s="22" t="s">
        <v>42</v>
      </c>
      <c r="C23" s="242" t="s">
        <v>186</v>
      </c>
      <c r="D23" s="242"/>
      <c r="E23" s="96">
        <f>PERC_EMPREG_DEMIT_SEM_JUSTA_CAUSA_TOTAL_DESLIG%*PERC_EMPREG_AVISO_PREVIO_TRAB%*(DIAS_NA_SEMANA/DIAS_NO_MES)/MESES_NO_ANO*100</f>
        <v>1.0328632222222223</v>
      </c>
      <c r="F23" s="95" t="s">
        <v>187</v>
      </c>
    </row>
    <row r="24" spans="2:6" s="18" customFormat="1" x14ac:dyDescent="0.15">
      <c r="B24" s="22" t="s">
        <v>45</v>
      </c>
      <c r="C24" s="241" t="s">
        <v>188</v>
      </c>
      <c r="D24" s="241"/>
      <c r="E24" s="93">
        <f>PERC_GPS_FGTS*PERC_AVISO_PREVIO_TRAB%</f>
        <v>0.38009366577777776</v>
      </c>
      <c r="F24" s="93" t="s">
        <v>189</v>
      </c>
    </row>
    <row r="25" spans="2:6" s="18" customFormat="1" x14ac:dyDescent="0.15">
      <c r="B25" s="22" t="s">
        <v>94</v>
      </c>
      <c r="C25" s="242" t="s">
        <v>190</v>
      </c>
      <c r="D25" s="242"/>
      <c r="E25" s="96">
        <f>ROUNDUP(PERC_AVISO_PREVIO_TRAB%*(PERC_MULTA_FGTS%+PERC_CONTRIB_SOCIAL%)*PERC_FGTS%*100,2)</f>
        <v>0.05</v>
      </c>
      <c r="F25" s="95" t="s">
        <v>191</v>
      </c>
    </row>
    <row r="26" spans="2:6" s="18" customFormat="1" ht="15.95" customHeight="1" x14ac:dyDescent="0.3">
      <c r="B26" s="60" t="s">
        <v>96</v>
      </c>
      <c r="C26" s="71"/>
      <c r="D26" s="72"/>
      <c r="E26" s="15"/>
    </row>
    <row r="27" spans="2:6" s="18" customFormat="1" ht="15.95" customHeight="1" x14ac:dyDescent="0.3">
      <c r="B27" s="60" t="s">
        <v>97</v>
      </c>
      <c r="C27" s="71"/>
      <c r="D27" s="72"/>
      <c r="E27" s="73"/>
    </row>
    <row r="28" spans="2:6" s="18" customFormat="1" ht="16.5" customHeight="1" x14ac:dyDescent="0.15">
      <c r="B28" s="33" t="s">
        <v>98</v>
      </c>
      <c r="C28" s="226" t="s">
        <v>99</v>
      </c>
      <c r="D28" s="226"/>
      <c r="E28" s="22" t="s">
        <v>100</v>
      </c>
      <c r="F28" s="22" t="s">
        <v>164</v>
      </c>
    </row>
    <row r="29" spans="2:6" s="18" customFormat="1" ht="15.95" customHeight="1" x14ac:dyDescent="0.15">
      <c r="B29" s="22" t="s">
        <v>31</v>
      </c>
      <c r="C29" s="236" t="s">
        <v>192</v>
      </c>
      <c r="D29" s="236"/>
      <c r="E29" s="93">
        <f>(1/MESES_NO_ANO)*100</f>
        <v>8.3333333333333321</v>
      </c>
      <c r="F29" s="93" t="s">
        <v>193</v>
      </c>
    </row>
    <row r="30" spans="2:6" s="18" customFormat="1" ht="15.95" customHeight="1" x14ac:dyDescent="0.15">
      <c r="B30" s="22" t="s">
        <v>34</v>
      </c>
      <c r="C30" s="38" t="s">
        <v>194</v>
      </c>
      <c r="D30" s="38"/>
      <c r="E30" s="96">
        <f>(DIAS_AUSENCIAS_LEGAIS/DIAS_NO_MES)/MESES_NO_ANO*100</f>
        <v>2.2222222222222223</v>
      </c>
      <c r="F30" s="95" t="s">
        <v>195</v>
      </c>
    </row>
    <row r="31" spans="2:6" s="18" customFormat="1" ht="15.95" customHeight="1" x14ac:dyDescent="0.15">
      <c r="B31" s="22" t="s">
        <v>38</v>
      </c>
      <c r="C31" s="236" t="s">
        <v>196</v>
      </c>
      <c r="D31" s="236"/>
      <c r="E31" s="93">
        <f>(((DIAS_LICENCA_PATERNIDADE/DIAS_NO_MES)/MESES_NO_ANO)*PERC_NASCIDOS_VIVOS_POPUL_FEM%*PERC_PARTIC_MASC_VIGIL%)*100</f>
        <v>3.5673555555555549E-2</v>
      </c>
      <c r="F31" s="93" t="s">
        <v>197</v>
      </c>
    </row>
    <row r="32" spans="2:6" s="18" customFormat="1" ht="16.5" customHeight="1" x14ac:dyDescent="0.15">
      <c r="B32" s="22" t="s">
        <v>42</v>
      </c>
      <c r="C32" s="1" t="s">
        <v>198</v>
      </c>
      <c r="D32" s="1"/>
      <c r="E32" s="96">
        <f>(DIAS_PAGOS_EMPRESA_ACID_TRAB/DIAS_NO_MES)/MESES_NO_ANO*PERC_EMPREG_AFAST_TRAB%*100</f>
        <v>1.85302229372558E-2</v>
      </c>
      <c r="F32" s="95" t="s">
        <v>199</v>
      </c>
    </row>
    <row r="33" spans="2:7" s="18" customFormat="1" ht="33" customHeight="1" x14ac:dyDescent="0.15">
      <c r="B33" s="22" t="s">
        <v>45</v>
      </c>
      <c r="C33" s="236" t="s">
        <v>200</v>
      </c>
      <c r="D33" s="236"/>
      <c r="E33" s="93">
        <f>(((DIAS_LICENCA_MATERNIDADE/DIAS_NO_MES)/MESES_NO_ANO)*PERC_NASCIDOS_VIVOS_POPUL_FEM%*PERC_PARTIC_FEM_VIGIL%*PERC_GPS_FGTS%*100)</f>
        <v>0.14312918399999999</v>
      </c>
      <c r="F33" s="93" t="s">
        <v>201</v>
      </c>
    </row>
    <row r="34" spans="2:7" s="18" customFormat="1" x14ac:dyDescent="0.3">
      <c r="B34" s="22" t="s">
        <v>94</v>
      </c>
      <c r="C34" s="1" t="str">
        <f>OUTRAS_AUSENCIAS_DESCRICAO</f>
        <v>Outras Ausências (Especificar em %)</v>
      </c>
      <c r="D34" s="1"/>
      <c r="E34" s="96">
        <f>PERC_SUBSTITUTO_OUTRAS_AUSENCIAS</f>
        <v>0</v>
      </c>
      <c r="F34" s="95"/>
      <c r="G34" s="15"/>
    </row>
    <row r="35" spans="2:7" x14ac:dyDescent="0.3">
      <c r="G35" s="85"/>
    </row>
    <row r="36" spans="2:7" ht="20.25" x14ac:dyDescent="0.3">
      <c r="B36" s="83" t="s">
        <v>125</v>
      </c>
      <c r="C36" s="84"/>
      <c r="D36" s="84"/>
      <c r="E36" s="84"/>
      <c r="G36" s="98"/>
    </row>
    <row r="37" spans="2:7" ht="43.5" customHeight="1" x14ac:dyDescent="0.3">
      <c r="B37" s="237" t="s">
        <v>126</v>
      </c>
      <c r="C37" s="237"/>
      <c r="D37" s="237"/>
      <c r="E37" s="237"/>
      <c r="F37" s="237"/>
    </row>
  </sheetData>
  <sheetProtection sheet="1" objects="1" scenarios="1"/>
  <mergeCells count="28">
    <mergeCell ref="C33:D33"/>
    <mergeCell ref="C34:D34"/>
    <mergeCell ref="B37:F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79861111111111" right="0.17013888888888901" top="0.140277777777778" bottom="4.0277777777777801E-2" header="0.51180555555555496" footer="0.51180555555555496"/>
  <pageSetup paperSize="9" scale="85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9"/>
  <sheetViews>
    <sheetView zoomScale="90" zoomScaleNormal="9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x14ac:dyDescent="0.35">
      <c r="B1" s="243" t="str">
        <f>RAMO</f>
        <v>RAMO: MINISTÉRIO PÚBLICO FEDERAL</v>
      </c>
      <c r="C1" s="243"/>
      <c r="D1" s="243"/>
      <c r="E1" s="243"/>
      <c r="F1" s="243"/>
    </row>
    <row r="2" spans="2:6" ht="20.25" customHeight="1" x14ac:dyDescent="0.35">
      <c r="B2" s="244" t="str">
        <f>UG</f>
        <v>UNIDADE GESTORA (SIGLA): PR/AP</v>
      </c>
      <c r="C2" s="244"/>
      <c r="D2" s="244"/>
      <c r="E2" s="99" t="s">
        <v>3</v>
      </c>
      <c r="F2" s="100">
        <f>IF(DATA_DO_ORCAMENTO_ESTIMATIVO="","",DATA_DO_ORCAMENTO_ESTIMATIVO)</f>
        <v>43921</v>
      </c>
    </row>
    <row r="3" spans="2:6" s="18" customFormat="1" ht="25.5" customHeight="1" x14ac:dyDescent="0.5">
      <c r="B3" s="12" t="s">
        <v>202</v>
      </c>
      <c r="C3" s="12"/>
      <c r="D3" s="12"/>
      <c r="E3" s="12"/>
      <c r="F3" s="12"/>
    </row>
    <row r="4" spans="2:6" s="18" customFormat="1" ht="15.95" customHeight="1" x14ac:dyDescent="0.3">
      <c r="B4" s="10" t="s">
        <v>7</v>
      </c>
      <c r="C4" s="10"/>
      <c r="D4" s="10"/>
      <c r="E4" s="10"/>
      <c r="F4" s="10"/>
    </row>
    <row r="5" spans="2:6" s="18" customFormat="1" ht="15.95" customHeight="1" x14ac:dyDescent="0.3">
      <c r="B5" s="8" t="s">
        <v>203</v>
      </c>
      <c r="C5" s="8"/>
      <c r="D5" s="224" t="str">
        <f>NUMERO_PROCESSO</f>
        <v>1.12.000.001095/2019-21</v>
      </c>
      <c r="E5" s="224"/>
      <c r="F5" s="224"/>
    </row>
    <row r="6" spans="2:6" s="18" customFormat="1" ht="15.75" customHeight="1" x14ac:dyDescent="0.3">
      <c r="B6" s="5" t="s">
        <v>204</v>
      </c>
      <c r="C6" s="5"/>
      <c r="D6" s="245" t="str">
        <f>MODALIDADE_DE_LICITACAO</f>
        <v>Pregão nº</v>
      </c>
      <c r="E6" s="245"/>
      <c r="F6" s="101" t="str">
        <f>NUMERO_PREGAO</f>
        <v>XX/2020</v>
      </c>
    </row>
    <row r="7" spans="2:6" s="24" customFormat="1" ht="15.75" customHeight="1" x14ac:dyDescent="0.3">
      <c r="B7" s="246" t="s">
        <v>205</v>
      </c>
      <c r="C7" s="246"/>
      <c r="D7" s="246"/>
      <c r="E7" s="246"/>
      <c r="F7" s="246"/>
    </row>
    <row r="8" spans="2:6" s="18" customFormat="1" ht="18" customHeight="1" x14ac:dyDescent="0.3">
      <c r="B8" s="34" t="s">
        <v>31</v>
      </c>
      <c r="C8" s="8" t="s">
        <v>32</v>
      </c>
      <c r="D8" s="8"/>
      <c r="E8" s="8"/>
      <c r="F8" s="102" t="str">
        <f>DATA_APRESENTACAO_PROPOSTA</f>
        <v>XX/XX/20XX</v>
      </c>
    </row>
    <row r="9" spans="2:6" s="18" customFormat="1" ht="15.95" customHeight="1" x14ac:dyDescent="0.15">
      <c r="B9" s="33" t="s">
        <v>34</v>
      </c>
      <c r="C9" s="37" t="s">
        <v>35</v>
      </c>
      <c r="D9" s="238" t="str">
        <f>IF(LOCAL_DE_EXECUCAO="","",LOCAL_DE_EXECUCAO)</f>
        <v>Sede e Anexo</v>
      </c>
      <c r="E9" s="238"/>
      <c r="F9" s="238"/>
    </row>
    <row r="10" spans="2:6" s="18" customFormat="1" ht="18.75" customHeight="1" x14ac:dyDescent="0.3">
      <c r="B10" s="34" t="s">
        <v>38</v>
      </c>
      <c r="C10" s="8" t="s">
        <v>43</v>
      </c>
      <c r="D10" s="8"/>
      <c r="E10" s="8"/>
      <c r="F10" s="103" t="str">
        <f>ACORDO_COLETIVO</f>
        <v>XX/2019</v>
      </c>
    </row>
    <row r="11" spans="2:6" s="18" customFormat="1" ht="15.95" customHeight="1" x14ac:dyDescent="0.3">
      <c r="B11" s="33" t="s">
        <v>42</v>
      </c>
      <c r="C11" s="238" t="s">
        <v>46</v>
      </c>
      <c r="D11" s="238"/>
      <c r="E11" s="238"/>
      <c r="F11" s="68">
        <f>NUMERO_MESES_EXEC_CONTRATUAL</f>
        <v>12</v>
      </c>
    </row>
    <row r="12" spans="2:6" s="18" customFormat="1" x14ac:dyDescent="0.3">
      <c r="B12" s="33" t="s">
        <v>45</v>
      </c>
      <c r="C12" s="247" t="s">
        <v>206</v>
      </c>
      <c r="D12" s="247"/>
      <c r="E12" s="247"/>
      <c r="F12" s="39" t="str">
        <f>IF(QTDE_DE_ENC=0,"",QTDE_DE_ENC)</f>
        <v/>
      </c>
    </row>
    <row r="13" spans="2:6" s="104" customFormat="1" ht="15" customHeight="1" x14ac:dyDescent="0.2">
      <c r="B13" s="105" t="s">
        <v>73</v>
      </c>
      <c r="C13" s="106"/>
      <c r="D13" s="106"/>
      <c r="E13" s="106"/>
      <c r="F13" s="106"/>
    </row>
    <row r="14" spans="2:6" s="18" customFormat="1" x14ac:dyDescent="0.3">
      <c r="B14" s="34">
        <v>1</v>
      </c>
      <c r="C14" s="8" t="s">
        <v>67</v>
      </c>
      <c r="D14" s="8"/>
      <c r="E14" s="224" t="str">
        <f>TIPO_DE_SERVICO</f>
        <v>Limpeza e Conservação</v>
      </c>
      <c r="F14" s="224"/>
    </row>
    <row r="15" spans="2:6" s="24" customFormat="1" x14ac:dyDescent="0.3">
      <c r="B15" s="34">
        <v>2</v>
      </c>
      <c r="C15" s="54" t="s">
        <v>69</v>
      </c>
      <c r="D15" s="248" t="str">
        <f>CBO</f>
        <v>5143-20</v>
      </c>
      <c r="E15" s="248"/>
      <c r="F15" s="248"/>
    </row>
    <row r="16" spans="2:6" s="18" customFormat="1" ht="15" customHeight="1" x14ac:dyDescent="0.3">
      <c r="B16" s="34">
        <v>3</v>
      </c>
      <c r="C16" s="107" t="s">
        <v>207</v>
      </c>
      <c r="D16" s="224" t="str">
        <f>CATEGORIA_PROFISSIONAL_ENC</f>
        <v>Encarregado de Limpeza</v>
      </c>
      <c r="E16" s="224"/>
      <c r="F16" s="224"/>
    </row>
    <row r="17" spans="2:6" s="18" customFormat="1" ht="15" customHeight="1" x14ac:dyDescent="0.3">
      <c r="B17" s="34">
        <v>4</v>
      </c>
      <c r="C17" s="249" t="s">
        <v>71</v>
      </c>
      <c r="D17" s="249"/>
      <c r="E17" s="249"/>
      <c r="F17" s="108">
        <f>DATA_BASE_CATEGORIA</f>
        <v>43466</v>
      </c>
    </row>
    <row r="18" spans="2:6" s="109" customFormat="1" ht="20.25" customHeight="1" x14ac:dyDescent="0.3">
      <c r="B18" s="250" t="s">
        <v>208</v>
      </c>
      <c r="C18" s="250"/>
      <c r="D18" s="250"/>
      <c r="E18" s="250"/>
      <c r="F18" s="250"/>
    </row>
    <row r="19" spans="2:6" x14ac:dyDescent="0.3">
      <c r="B19" s="60" t="s">
        <v>74</v>
      </c>
      <c r="E19" s="61"/>
      <c r="F19" s="61"/>
    </row>
    <row r="20" spans="2:6" ht="16.5" customHeight="1" x14ac:dyDescent="0.3">
      <c r="B20" s="33">
        <v>1</v>
      </c>
      <c r="C20" s="226" t="s">
        <v>75</v>
      </c>
      <c r="D20" s="226"/>
      <c r="E20" s="226"/>
      <c r="F20" s="22" t="s">
        <v>110</v>
      </c>
    </row>
    <row r="21" spans="2:6" ht="16.5" customHeight="1" x14ac:dyDescent="0.3">
      <c r="B21" s="33" t="s">
        <v>31</v>
      </c>
      <c r="C21" s="231" t="s">
        <v>209</v>
      </c>
      <c r="D21" s="231"/>
      <c r="E21" s="231"/>
      <c r="F21" s="110">
        <f>SALARIO_NORMATIVO_ENC</f>
        <v>0</v>
      </c>
    </row>
    <row r="22" spans="2:6" ht="16.5" customHeight="1" x14ac:dyDescent="0.3">
      <c r="B22" s="33" t="s">
        <v>34</v>
      </c>
      <c r="C22" s="1" t="s">
        <v>210</v>
      </c>
      <c r="D22" s="1"/>
      <c r="E22" s="1"/>
      <c r="F22" s="111">
        <f>IF(ADIC_INSALUB_ENC="SIM",PERC_ADIC_INSALUB%*SAL_MINIMO,0)</f>
        <v>0</v>
      </c>
    </row>
    <row r="23" spans="2:6" x14ac:dyDescent="0.3">
      <c r="B23" s="33" t="s">
        <v>38</v>
      </c>
      <c r="C23" s="231" t="str">
        <f>OUTROS_REMUNERACAO_1_DESCRICAO</f>
        <v>Outras Remunerações 1 (Especificar)</v>
      </c>
      <c r="D23" s="231"/>
      <c r="E23" s="231"/>
      <c r="F23" s="110">
        <f>OUTROS_REMUNERACAO_1</f>
        <v>0</v>
      </c>
    </row>
    <row r="24" spans="2:6" x14ac:dyDescent="0.3">
      <c r="B24" s="33" t="s">
        <v>42</v>
      </c>
      <c r="C24" s="227" t="str">
        <f>OUTROS_REMUNERACAO_2_DESCRICAO</f>
        <v>Outras Remunerações 2 (Especificar)</v>
      </c>
      <c r="D24" s="227"/>
      <c r="E24" s="227"/>
      <c r="F24" s="111">
        <f>OUTROS_REMUNERACAO_2</f>
        <v>0</v>
      </c>
    </row>
    <row r="25" spans="2:6" x14ac:dyDescent="0.3">
      <c r="B25" s="33" t="s">
        <v>45</v>
      </c>
      <c r="C25" s="231" t="str">
        <f>OUTROS_REMUNERACAO_3_DESCRICAO</f>
        <v>Outras Remunerações 3 (Especificar)</v>
      </c>
      <c r="D25" s="231"/>
      <c r="E25" s="231"/>
      <c r="F25" s="110">
        <f>OUTROS_REMUNERACAO_3</f>
        <v>0</v>
      </c>
    </row>
    <row r="26" spans="2:6" ht="16.5" customHeight="1" x14ac:dyDescent="0.3">
      <c r="B26" s="226" t="s">
        <v>15</v>
      </c>
      <c r="C26" s="226"/>
      <c r="D26" s="226"/>
      <c r="E26" s="226"/>
      <c r="F26" s="112">
        <f>IF(QTDE_DE_ENC=0,0,SUM(F21:F25))</f>
        <v>0</v>
      </c>
    </row>
    <row r="27" spans="2:6" x14ac:dyDescent="0.3">
      <c r="B27" s="60" t="s">
        <v>81</v>
      </c>
      <c r="E27" s="65"/>
      <c r="F27" s="65"/>
    </row>
    <row r="28" spans="2:6" x14ac:dyDescent="0.3">
      <c r="B28" s="60" t="s">
        <v>161</v>
      </c>
      <c r="C28" s="71"/>
      <c r="D28" s="72"/>
      <c r="E28" s="73"/>
      <c r="F28" s="73"/>
    </row>
    <row r="29" spans="2:6" x14ac:dyDescent="0.3">
      <c r="B29" s="33" t="s">
        <v>162</v>
      </c>
      <c r="C29" s="230" t="s">
        <v>163</v>
      </c>
      <c r="D29" s="230"/>
      <c r="E29" s="22" t="s">
        <v>100</v>
      </c>
      <c r="F29" s="22" t="s">
        <v>110</v>
      </c>
    </row>
    <row r="30" spans="2:6" ht="16.5" customHeight="1" x14ac:dyDescent="0.3">
      <c r="B30" s="33" t="s">
        <v>31</v>
      </c>
      <c r="C30" s="236" t="s">
        <v>165</v>
      </c>
      <c r="D30" s="236"/>
      <c r="E30" s="93">
        <f>PERC_DEC_TERC</f>
        <v>8.3333333333333321</v>
      </c>
      <c r="F30" s="90">
        <f>PERC_DEC_TERC%*MOD_1_REMUNERACAO_ENC</f>
        <v>0</v>
      </c>
    </row>
    <row r="31" spans="2:6" s="94" customFormat="1" ht="16.5" customHeight="1" x14ac:dyDescent="0.3">
      <c r="B31" s="22" t="s">
        <v>34</v>
      </c>
      <c r="C31" s="1" t="s">
        <v>167</v>
      </c>
      <c r="D31" s="1"/>
      <c r="E31" s="95">
        <f>PERC_ADIC_FERIAS</f>
        <v>2.7777777777777777</v>
      </c>
      <c r="F31" s="91">
        <f>PERC_ADIC_FERIAS%*MOD_1_REMUNERACAO_ENC</f>
        <v>0</v>
      </c>
    </row>
    <row r="32" spans="2:6" s="64" customFormat="1" x14ac:dyDescent="0.3">
      <c r="B32" s="230" t="s">
        <v>15</v>
      </c>
      <c r="C32" s="230"/>
      <c r="D32" s="230"/>
      <c r="E32" s="230"/>
      <c r="F32" s="113">
        <f>IF(QTDE_DE_ENC=0,0,SUM(F30:F31))</f>
        <v>0</v>
      </c>
    </row>
    <row r="33" spans="2:6" s="64" customFormat="1" ht="31.5" customHeight="1" x14ac:dyDescent="0.3">
      <c r="B33" s="251" t="s">
        <v>169</v>
      </c>
      <c r="C33" s="251"/>
      <c r="D33" s="251"/>
      <c r="E33" s="251"/>
      <c r="F33" s="251"/>
    </row>
    <row r="34" spans="2:6" s="64" customFormat="1" ht="34.5" customHeight="1" x14ac:dyDescent="0.3">
      <c r="B34" s="33" t="s">
        <v>170</v>
      </c>
      <c r="C34" s="240" t="s">
        <v>171</v>
      </c>
      <c r="D34" s="240"/>
      <c r="E34" s="22" t="s">
        <v>100</v>
      </c>
      <c r="F34" s="22" t="s">
        <v>110</v>
      </c>
    </row>
    <row r="35" spans="2:6" ht="16.5" customHeight="1" x14ac:dyDescent="0.3">
      <c r="B35" s="33" t="s">
        <v>31</v>
      </c>
      <c r="C35" s="236" t="s">
        <v>172</v>
      </c>
      <c r="D35" s="236"/>
      <c r="E35" s="93">
        <f>PERC_INSS</f>
        <v>20</v>
      </c>
      <c r="F35" s="90">
        <f>PERC_INSS%*(MOD_1_REMUNERACAO_ENC+SUBMOD_2_1_DEC_TERC_ADIC_FERIAS_ENC)</f>
        <v>0</v>
      </c>
    </row>
    <row r="36" spans="2:6" s="18" customFormat="1" ht="16.5" customHeight="1" x14ac:dyDescent="0.15">
      <c r="B36" s="22" t="s">
        <v>34</v>
      </c>
      <c r="C36" s="1" t="s">
        <v>173</v>
      </c>
      <c r="D36" s="1"/>
      <c r="E36" s="96">
        <f>PERC_SAL_EDUCACAO</f>
        <v>2.5</v>
      </c>
      <c r="F36" s="91">
        <f>PERC_SAL_EDUCACAO%*(MOD_1_REMUNERACAO_ENC+SUBMOD_2_1_DEC_TERC_ADIC_FERIAS_ENC)</f>
        <v>0</v>
      </c>
    </row>
    <row r="37" spans="2:6" s="18" customFormat="1" ht="16.5" customHeight="1" x14ac:dyDescent="0.15">
      <c r="B37" s="22" t="s">
        <v>38</v>
      </c>
      <c r="C37" s="236" t="s">
        <v>174</v>
      </c>
      <c r="D37" s="236"/>
      <c r="E37" s="93">
        <f>PERC_RAT</f>
        <v>3</v>
      </c>
      <c r="F37" s="90">
        <f>PERC_RAT%*(MOD_1_REMUNERACAO_ENC+SUBMOD_2_1_DEC_TERC_ADIC_FERIAS_ENC)</f>
        <v>0</v>
      </c>
    </row>
    <row r="38" spans="2:6" s="18" customFormat="1" ht="16.5" customHeight="1" x14ac:dyDescent="0.15">
      <c r="B38" s="22" t="s">
        <v>42</v>
      </c>
      <c r="C38" s="1" t="s">
        <v>175</v>
      </c>
      <c r="D38" s="1"/>
      <c r="E38" s="95">
        <f>PERC_SESC</f>
        <v>1.5</v>
      </c>
      <c r="F38" s="91">
        <f>PERC_SESC%*(MOD_1_REMUNERACAO_ENC+SUBMOD_2_1_DEC_TERC_ADIC_FERIAS_ENC)</f>
        <v>0</v>
      </c>
    </row>
    <row r="39" spans="2:6" s="18" customFormat="1" ht="16.5" customHeight="1" x14ac:dyDescent="0.15">
      <c r="B39" s="22" t="s">
        <v>45</v>
      </c>
      <c r="C39" s="236" t="s">
        <v>176</v>
      </c>
      <c r="D39" s="236"/>
      <c r="E39" s="93">
        <f>PERC_SENAC</f>
        <v>1</v>
      </c>
      <c r="F39" s="90">
        <f>PERC_SENAC%*(MOD_1_REMUNERACAO_ENC+SUBMOD_2_1_DEC_TERC_ADIC_FERIAS_ENC)</f>
        <v>0</v>
      </c>
    </row>
    <row r="40" spans="2:6" s="24" customFormat="1" ht="16.5" customHeight="1" x14ac:dyDescent="0.15">
      <c r="B40" s="22" t="s">
        <v>94</v>
      </c>
      <c r="C40" s="1" t="s">
        <v>177</v>
      </c>
      <c r="D40" s="1"/>
      <c r="E40" s="96">
        <f>PERC_SEBRAE</f>
        <v>0.6</v>
      </c>
      <c r="F40" s="91">
        <f>PERC_SEBRAE%*(MOD_1_REMUNERACAO_ENC+SUBMOD_2_1_DEC_TERC_ADIC_FERIAS_ENC)</f>
        <v>0</v>
      </c>
    </row>
    <row r="41" spans="2:6" s="24" customFormat="1" ht="16.5" customHeight="1" x14ac:dyDescent="0.15">
      <c r="B41" s="22" t="s">
        <v>135</v>
      </c>
      <c r="C41" s="236" t="s">
        <v>178</v>
      </c>
      <c r="D41" s="236"/>
      <c r="E41" s="93">
        <f>PERC_INCRA</f>
        <v>0.2</v>
      </c>
      <c r="F41" s="90">
        <f>PERC_INCRA%*(MOD_1_REMUNERACAO_ENC+SUBMOD_2_1_DEC_TERC_ADIC_FERIAS_ENC)</f>
        <v>0</v>
      </c>
    </row>
    <row r="42" spans="2:6" ht="16.5" customHeight="1" x14ac:dyDescent="0.3">
      <c r="B42" s="22" t="s">
        <v>137</v>
      </c>
      <c r="C42" s="1" t="s">
        <v>179</v>
      </c>
      <c r="D42" s="1"/>
      <c r="E42" s="96">
        <f>PERC_FGTS</f>
        <v>8</v>
      </c>
      <c r="F42" s="91">
        <f>PERC_FGTS%*(MOD_1_REMUNERACAO_ENC+SUBMOD_2_1_DEC_TERC_ADIC_FERIAS_ENC)</f>
        <v>0</v>
      </c>
    </row>
    <row r="43" spans="2:6" x14ac:dyDescent="0.3">
      <c r="B43" s="230" t="s">
        <v>15</v>
      </c>
      <c r="C43" s="230"/>
      <c r="D43" s="230"/>
      <c r="E43" s="230"/>
      <c r="F43" s="114">
        <f>IF(QTDE_DE_ENC=0,0,SUM(F35:F42))</f>
        <v>0</v>
      </c>
    </row>
    <row r="44" spans="2:6" ht="15.75" customHeight="1" x14ac:dyDescent="0.3">
      <c r="B44" s="60" t="s">
        <v>82</v>
      </c>
      <c r="C44" s="24"/>
      <c r="D44" s="24"/>
      <c r="E44" s="24"/>
      <c r="F44" s="24"/>
    </row>
    <row r="45" spans="2:6" ht="15.75" customHeight="1" x14ac:dyDescent="0.3">
      <c r="B45" s="33" t="s">
        <v>83</v>
      </c>
      <c r="C45" s="226" t="s">
        <v>84</v>
      </c>
      <c r="D45" s="226"/>
      <c r="E45" s="226"/>
      <c r="F45" s="22" t="s">
        <v>110</v>
      </c>
    </row>
    <row r="46" spans="2:6" ht="16.5" customHeight="1" x14ac:dyDescent="0.3">
      <c r="B46" s="34" t="s">
        <v>31</v>
      </c>
      <c r="C46" s="236" t="s">
        <v>87</v>
      </c>
      <c r="D46" s="236"/>
      <c r="E46" s="236"/>
      <c r="F46" s="90">
        <f>IF(((TRANSPORTE_POR_DIA*DIAS_TRABALHADOS_NO_MES)-(PERC_DESC_TRANSP_REMUNERACAO%*(AL_1_A_SAL_BASE_ENC)))&gt;0,((TRANSPORTE_POR_DIA*DIAS_TRABALHADOS_NO_MES)-(PERC_DESC_TRANSP_REMUNERACAO%*(AL_1_A_SAL_BASE_ENC))),0)</f>
        <v>325.60000000000002</v>
      </c>
    </row>
    <row r="47" spans="2:6" s="64" customFormat="1" ht="16.5" customHeight="1" x14ac:dyDescent="0.3">
      <c r="B47" s="34" t="s">
        <v>34</v>
      </c>
      <c r="C47" s="1" t="s">
        <v>89</v>
      </c>
      <c r="D47" s="1"/>
      <c r="E47" s="1"/>
      <c r="F47" s="91">
        <f>ALIMENTACAO_POR_DIA*DIAS_TRABALHADOS_NO_MES</f>
        <v>399.96</v>
      </c>
    </row>
    <row r="48" spans="2:6" s="64" customFormat="1" x14ac:dyDescent="0.3">
      <c r="B48" s="34" t="s">
        <v>38</v>
      </c>
      <c r="C48" s="231" t="str">
        <f>OUTROS_BENEFICIOS_1_DESCRICAO</f>
        <v>Auxílio funeral</v>
      </c>
      <c r="D48" s="231"/>
      <c r="E48" s="231"/>
      <c r="F48" s="90">
        <f>OUTROS_BENEFICIOS_1</f>
        <v>15</v>
      </c>
    </row>
    <row r="49" spans="2:6" s="64" customFormat="1" x14ac:dyDescent="0.3">
      <c r="B49" s="34" t="s">
        <v>42</v>
      </c>
      <c r="C49" s="227" t="str">
        <f>OUTROS_BENEFICIOS_2_DESCRICAO</f>
        <v>Outros Benefícios 2 (Especificar)</v>
      </c>
      <c r="D49" s="227"/>
      <c r="E49" s="227"/>
      <c r="F49" s="91">
        <f>OUTROS_BENEFICIOS_2</f>
        <v>0</v>
      </c>
    </row>
    <row r="50" spans="2:6" s="64" customFormat="1" x14ac:dyDescent="0.3">
      <c r="B50" s="34" t="s">
        <v>45</v>
      </c>
      <c r="C50" s="231" t="str">
        <f>OUTROS_BENEFICIOS_3_DESCRICAO</f>
        <v>Outros Benefícios 3 (Especificar)</v>
      </c>
      <c r="D50" s="231"/>
      <c r="E50" s="231"/>
      <c r="F50" s="90">
        <f>OUTROS_BENEFICIOS_3</f>
        <v>0</v>
      </c>
    </row>
    <row r="51" spans="2:6" s="64" customFormat="1" ht="15" customHeight="1" x14ac:dyDescent="0.3">
      <c r="B51" s="226" t="s">
        <v>15</v>
      </c>
      <c r="C51" s="226"/>
      <c r="D51" s="226"/>
      <c r="E51" s="226"/>
      <c r="F51" s="112">
        <f>IF(QTDE_DE_ENC=0,0,SUM(F46:F50))</f>
        <v>0</v>
      </c>
    </row>
    <row r="52" spans="2:6" s="64" customFormat="1" x14ac:dyDescent="0.3">
      <c r="B52" s="60" t="s">
        <v>141</v>
      </c>
      <c r="C52" s="71"/>
      <c r="D52" s="72"/>
      <c r="E52" s="73"/>
      <c r="F52" s="73"/>
    </row>
    <row r="53" spans="2:6" s="64" customFormat="1" ht="15" customHeight="1" x14ac:dyDescent="0.3">
      <c r="B53" s="33">
        <v>3</v>
      </c>
      <c r="C53" s="230" t="s">
        <v>142</v>
      </c>
      <c r="D53" s="230"/>
      <c r="E53" s="22" t="s">
        <v>100</v>
      </c>
      <c r="F53" s="22" t="s">
        <v>110</v>
      </c>
    </row>
    <row r="54" spans="2:6" s="64" customFormat="1" x14ac:dyDescent="0.3">
      <c r="B54" s="33" t="s">
        <v>31</v>
      </c>
      <c r="C54" s="241" t="s">
        <v>180</v>
      </c>
      <c r="D54" s="241"/>
      <c r="E54" s="93">
        <f>PERC_AVISO_PREVIO_IND</f>
        <v>0.26011000000000001</v>
      </c>
      <c r="F54" s="90">
        <f>PERC_AVISO_PREVIO_IND%*(MOD_1_REMUNERACAO_ENC+SUBMOD_2_1_DEC_TERC_ADIC_FERIAS_ENC+AL_2_2_FGTS_ENC+SUBMOD_2_3_BENEFICIOS_ENC)</f>
        <v>0</v>
      </c>
    </row>
    <row r="55" spans="2:6" s="64" customFormat="1" x14ac:dyDescent="0.3">
      <c r="B55" s="22" t="s">
        <v>34</v>
      </c>
      <c r="C55" s="242" t="s">
        <v>182</v>
      </c>
      <c r="D55" s="242"/>
      <c r="E55" s="96">
        <f>PERC_FGTS_AVISO_PREV_IND</f>
        <v>2.0808800000000002E-2</v>
      </c>
      <c r="F55" s="91">
        <f>PERC_FGTS_AVISO_PREV_IND%*(MOD_1_REMUNERACAO_ENC+SUBMOD_2_1_DEC_TERC_ADIC_FERIAS_ENC)</f>
        <v>0</v>
      </c>
    </row>
    <row r="56" spans="2:6" s="18" customFormat="1" ht="34.5" customHeight="1" x14ac:dyDescent="0.15">
      <c r="B56" s="22" t="s">
        <v>38</v>
      </c>
      <c r="C56" s="241" t="s">
        <v>184</v>
      </c>
      <c r="D56" s="241"/>
      <c r="E56" s="93">
        <f>PERC_MULTA_FGTS_AV_PREV_IND</f>
        <v>1.0404400000000001E-2</v>
      </c>
      <c r="F56" s="90">
        <f>PERC_MULTA_FGTS_AV_PREV_IND%*(MOD_1_REMUNERACAO_ENC+SUBMOD_2_1_DEC_TERC_ADIC_FERIAS_ENC)</f>
        <v>0</v>
      </c>
    </row>
    <row r="57" spans="2:6" s="64" customFormat="1" x14ac:dyDescent="0.3">
      <c r="B57" s="22" t="s">
        <v>42</v>
      </c>
      <c r="C57" s="242" t="s">
        <v>186</v>
      </c>
      <c r="D57" s="242"/>
      <c r="E57" s="96">
        <f>PERC_AVISO_PREVIO_TRAB</f>
        <v>1.0328632222222223</v>
      </c>
      <c r="F57" s="91">
        <f>PERC_AVISO_PREVIO_TRAB%*(MOD_1_REMUNERACAO_ENC+SUBMOD_2_1_DEC_TERC_ADIC_FERIAS_ENC+SUBMOD_2_2_GPS_FGTS_ENC+SUBMOD_2_3_BENEFICIOS_ENC)</f>
        <v>0</v>
      </c>
    </row>
    <row r="58" spans="2:6" s="18" customFormat="1" ht="35.25" customHeight="1" x14ac:dyDescent="0.15">
      <c r="B58" s="22" t="s">
        <v>45</v>
      </c>
      <c r="C58" s="241" t="s">
        <v>188</v>
      </c>
      <c r="D58" s="241"/>
      <c r="E58" s="93">
        <f>PERC_GPS_FGTS_AVISO_PREVIO_TRAB</f>
        <v>0.38009366577777776</v>
      </c>
      <c r="F58" s="90">
        <f>PERC_GPS_FGTS_AVISO_PREVIO_TRAB%*(MOD_1_REMUNERACAO_ENC+SUBMOD_2_1_DEC_TERC_ADIC_FERIAS_ENC)</f>
        <v>0</v>
      </c>
    </row>
    <row r="59" spans="2:6" s="18" customFormat="1" ht="32.25" customHeight="1" x14ac:dyDescent="0.15">
      <c r="B59" s="22" t="s">
        <v>94</v>
      </c>
      <c r="C59" s="242" t="s">
        <v>190</v>
      </c>
      <c r="D59" s="242"/>
      <c r="E59" s="96">
        <f>PERC_MULTA_FGTS_AV_PREV_TRAB</f>
        <v>0.05</v>
      </c>
      <c r="F59" s="91">
        <f>PERC_MULTA_FGTS_AV_PREV_TRAB%*(MOD_1_REMUNERACAO_ENC+SUBMOD_2_1_DEC_TERC_ADIC_FERIAS_ENC)</f>
        <v>0</v>
      </c>
    </row>
    <row r="60" spans="2:6" s="18" customFormat="1" x14ac:dyDescent="0.3">
      <c r="B60" s="230" t="s">
        <v>15</v>
      </c>
      <c r="C60" s="230"/>
      <c r="D60" s="230"/>
      <c r="E60" s="230"/>
      <c r="F60" s="113">
        <f>IF(QTDE_DE_ENC=0,0,SUM(F54:F59))</f>
        <v>0</v>
      </c>
    </row>
    <row r="61" spans="2:6" s="18" customFormat="1" ht="15.95" customHeight="1" x14ac:dyDescent="0.3">
      <c r="B61" s="60" t="s">
        <v>96</v>
      </c>
      <c r="C61" s="71"/>
      <c r="D61" s="72"/>
      <c r="E61" s="15"/>
      <c r="F61" s="15"/>
    </row>
    <row r="62" spans="2:6" s="18" customFormat="1" ht="15.95" customHeight="1" x14ac:dyDescent="0.3">
      <c r="B62" s="60" t="s">
        <v>97</v>
      </c>
      <c r="C62" s="71"/>
      <c r="D62" s="72"/>
      <c r="E62" s="73"/>
      <c r="F62" s="73"/>
    </row>
    <row r="63" spans="2:6" s="18" customFormat="1" ht="16.5" customHeight="1" x14ac:dyDescent="0.15">
      <c r="B63" s="33" t="s">
        <v>98</v>
      </c>
      <c r="C63" s="226" t="s">
        <v>99</v>
      </c>
      <c r="D63" s="226"/>
      <c r="E63" s="22" t="s">
        <v>100</v>
      </c>
      <c r="F63" s="22" t="s">
        <v>110</v>
      </c>
    </row>
    <row r="64" spans="2:6" s="18" customFormat="1" ht="15.95" customHeight="1" x14ac:dyDescent="0.15">
      <c r="B64" s="22" t="s">
        <v>31</v>
      </c>
      <c r="C64" s="236" t="s">
        <v>192</v>
      </c>
      <c r="D64" s="236"/>
      <c r="E64" s="93">
        <f>PERC_SUBSTITUTO_FERIAS</f>
        <v>8.3333333333333321</v>
      </c>
      <c r="F64" s="90">
        <f>PERC_SUBSTITUTO_FERIAS%*(MOD_1_REMUNERACAO_ENC+MOD_2_ENCARGOS_BENEFICIOS_ENC+MOD_3_PROVISAO_RESCISAO_ENC)</f>
        <v>0</v>
      </c>
    </row>
    <row r="65" spans="2:6" s="18" customFormat="1" ht="15.95" customHeight="1" x14ac:dyDescent="0.15">
      <c r="B65" s="22" t="s">
        <v>34</v>
      </c>
      <c r="C65" s="1" t="s">
        <v>194</v>
      </c>
      <c r="D65" s="1"/>
      <c r="E65" s="96">
        <f>PERC_SUBSTITUTO_AUSENCIAS_LEGAIS</f>
        <v>2.2222222222222223</v>
      </c>
      <c r="F65" s="91">
        <f>PERC_SUBSTITUTO_AUSENCIAS_LEGAIS%*(MOD_1_REMUNERACAO_ENC+MOD_2_ENCARGOS_BENEFICIOS_ENC+MOD_3_PROVISAO_RESCISAO_ENC)</f>
        <v>0</v>
      </c>
    </row>
    <row r="66" spans="2:6" s="18" customFormat="1" ht="15.95" customHeight="1" x14ac:dyDescent="0.15">
      <c r="B66" s="22" t="s">
        <v>38</v>
      </c>
      <c r="C66" s="236" t="s">
        <v>196</v>
      </c>
      <c r="D66" s="236"/>
      <c r="E66" s="93">
        <f>PERC_SUBSTITUTO_LICENCA_PATERNIDADE</f>
        <v>3.5673555555555549E-2</v>
      </c>
      <c r="F66" s="90">
        <f>PERC_SUBSTITUTO_LICENCA_PATERNIDADE%*(MOD_1_REMUNERACAO_ENC+MOD_2_ENCARGOS_BENEFICIOS_ENC+MOD_3_PROVISAO_RESCISAO_ENC)</f>
        <v>0</v>
      </c>
    </row>
    <row r="67" spans="2:6" s="18" customFormat="1" ht="16.5" customHeight="1" x14ac:dyDescent="0.15">
      <c r="B67" s="22" t="s">
        <v>42</v>
      </c>
      <c r="C67" s="1" t="s">
        <v>198</v>
      </c>
      <c r="D67" s="1"/>
      <c r="E67" s="96">
        <f>PERC_SUBSTITUTO_ACID_TRAB</f>
        <v>1.85302229372558E-2</v>
      </c>
      <c r="F67" s="91">
        <f>PERC_SUBSTITUTO_ACID_TRAB%*(MOD_1_REMUNERACAO_ENC+MOD_2_ENCARGOS_BENEFICIOS_ENC+MOD_3_PROVISAO_RESCISAO_ENC)</f>
        <v>0</v>
      </c>
    </row>
    <row r="68" spans="2:6" s="18" customFormat="1" ht="16.5" customHeight="1" x14ac:dyDescent="0.15">
      <c r="B68" s="22" t="s">
        <v>45</v>
      </c>
      <c r="C68" s="236" t="s">
        <v>200</v>
      </c>
      <c r="D68" s="236"/>
      <c r="E68" s="93">
        <f>PERC_SUBSTITUTO_AFAST_MATERN</f>
        <v>0.14312918399999999</v>
      </c>
      <c r="F68" s="90">
        <f>PERC_SUBSTITUTO_AFAST_MATERN%*(MOD_1_REMUNERACAO_ENC+MOD_2_ENCARGOS_BENEFICIOS_ENC+MOD_3_PROVISAO_RESCISAO_ENC)</f>
        <v>0</v>
      </c>
    </row>
    <row r="69" spans="2:6" s="18" customFormat="1" x14ac:dyDescent="0.15">
      <c r="B69" s="22" t="s">
        <v>94</v>
      </c>
      <c r="C69" s="252" t="str">
        <f>OUTRAS_AUSENCIAS_DESCRICAO</f>
        <v>Outras Ausências (Especificar em %)</v>
      </c>
      <c r="D69" s="252"/>
      <c r="E69" s="115">
        <f>PERC_SUBSTITUTO_OUTRAS_AUSENCIAS</f>
        <v>0</v>
      </c>
      <c r="F69" s="91">
        <f>PERC_SUBSTITUTO_OUTRAS_AUSENCIAS%*(MOD_1_REMUNERACAO_ENC+MOD_2_ENCARGOS_BENEFICIOS_ENC+MOD_3_PROVISAO_RESCISAO_ENC)</f>
        <v>0</v>
      </c>
    </row>
    <row r="70" spans="2:6" s="18" customFormat="1" x14ac:dyDescent="0.3">
      <c r="B70" s="230" t="s">
        <v>15</v>
      </c>
      <c r="C70" s="230"/>
      <c r="D70" s="230"/>
      <c r="E70" s="230"/>
      <c r="F70" s="113">
        <f>IF(QTDE_DE_ENC=0,0,SUM(F64:F69))</f>
        <v>0</v>
      </c>
    </row>
    <row r="71" spans="2:6" s="18" customFormat="1" ht="15" customHeight="1" x14ac:dyDescent="0.3">
      <c r="B71" s="60" t="s">
        <v>102</v>
      </c>
      <c r="C71" s="71"/>
      <c r="D71" s="72"/>
      <c r="E71" s="73"/>
      <c r="F71" s="73"/>
    </row>
    <row r="72" spans="2:6" s="18" customFormat="1" x14ac:dyDescent="0.15">
      <c r="B72" s="33" t="s">
        <v>103</v>
      </c>
      <c r="C72" s="230" t="s">
        <v>104</v>
      </c>
      <c r="D72" s="230"/>
      <c r="E72" s="230"/>
      <c r="F72" s="22" t="s">
        <v>110</v>
      </c>
    </row>
    <row r="73" spans="2:6" s="18" customFormat="1" ht="16.5" customHeight="1" x14ac:dyDescent="0.15">
      <c r="B73" s="33" t="s">
        <v>31</v>
      </c>
      <c r="C73" s="236" t="s">
        <v>211</v>
      </c>
      <c r="D73" s="236"/>
      <c r="E73" s="236"/>
      <c r="F73" s="110">
        <f>IF(DIAS_TRABALHADOS_NO_MES=15,((MOD_1_REMUNERACAO_ENC+MOD_2_ENCARGOS_BENEFICIOS_ENC+MOD_3_PROVISAO_RESCISAO_ENC)/DIVISOR_DE_HORAS)*((TEMPO_INTERVALO_REFEICAO/HORA_NORMAL)+PERC_HORA_EXTRA%)*DIAS_TRABALHADOS_NO_MES,0)</f>
        <v>0</v>
      </c>
    </row>
    <row r="74" spans="2:6" s="18" customFormat="1" x14ac:dyDescent="0.3">
      <c r="B74" s="230" t="s">
        <v>15</v>
      </c>
      <c r="C74" s="230"/>
      <c r="D74" s="230"/>
      <c r="E74" s="230"/>
      <c r="F74" s="113">
        <f>IF(QTDE_DE_ENC=0,0,SUM(F73))</f>
        <v>0</v>
      </c>
    </row>
    <row r="75" spans="2:6" x14ac:dyDescent="0.3">
      <c r="B75" s="60" t="s">
        <v>108</v>
      </c>
      <c r="C75" s="71"/>
      <c r="D75" s="71"/>
      <c r="E75" s="73"/>
      <c r="F75" s="73"/>
    </row>
    <row r="76" spans="2:6" ht="15.75" customHeight="1" x14ac:dyDescent="0.3">
      <c r="B76" s="74">
        <v>5</v>
      </c>
      <c r="C76" s="232" t="s">
        <v>109</v>
      </c>
      <c r="D76" s="232"/>
      <c r="E76" s="232"/>
      <c r="F76" s="75" t="s">
        <v>110</v>
      </c>
    </row>
    <row r="77" spans="2:6" ht="16.5" customHeight="1" x14ac:dyDescent="0.3">
      <c r="B77" s="76" t="s">
        <v>31</v>
      </c>
      <c r="C77" s="233" t="s">
        <v>111</v>
      </c>
      <c r="D77" s="233"/>
      <c r="E77" s="233"/>
      <c r="F77" s="116">
        <f>UNIFORMES</f>
        <v>34.338000000000001</v>
      </c>
    </row>
    <row r="78" spans="2:6" ht="16.5" customHeight="1" x14ac:dyDescent="0.3">
      <c r="B78" s="76" t="s">
        <v>34</v>
      </c>
      <c r="C78" s="234" t="s">
        <v>112</v>
      </c>
      <c r="D78" s="234"/>
      <c r="E78" s="234"/>
      <c r="F78" s="117">
        <f>MATERIAIS</f>
        <v>1232.47</v>
      </c>
    </row>
    <row r="79" spans="2:6" ht="16.5" customHeight="1" x14ac:dyDescent="0.3">
      <c r="B79" s="76" t="s">
        <v>38</v>
      </c>
      <c r="C79" s="233" t="s">
        <v>113</v>
      </c>
      <c r="D79" s="233"/>
      <c r="E79" s="233"/>
      <c r="F79" s="116">
        <f>EQUIPAMENTOS</f>
        <v>7.91</v>
      </c>
    </row>
    <row r="80" spans="2:6" x14ac:dyDescent="0.3">
      <c r="B80" s="76" t="s">
        <v>42</v>
      </c>
      <c r="C80" s="253" t="str">
        <f>OUTROS_INSUMOS_DESCRICAO</f>
        <v>Outros Insumos (Especificar)</v>
      </c>
      <c r="D80" s="253"/>
      <c r="E80" s="253"/>
      <c r="F80" s="117">
        <f>OUTROS_INSUMOS</f>
        <v>0</v>
      </c>
    </row>
    <row r="81" spans="2:6" ht="16.5" customHeight="1" x14ac:dyDescent="0.3">
      <c r="B81" s="232" t="s">
        <v>15</v>
      </c>
      <c r="C81" s="232"/>
      <c r="D81" s="232"/>
      <c r="E81" s="232"/>
      <c r="F81" s="118">
        <f>IF(QTDE_DE_ENC=0,0,SUM(F77:F80))</f>
        <v>0</v>
      </c>
    </row>
    <row r="82" spans="2:6" ht="15" customHeight="1" x14ac:dyDescent="0.3">
      <c r="B82" s="235" t="s">
        <v>115</v>
      </c>
      <c r="C82" s="235"/>
      <c r="D82" s="235"/>
      <c r="E82" s="235"/>
      <c r="F82" s="235"/>
    </row>
    <row r="83" spans="2:6" x14ac:dyDescent="0.3">
      <c r="B83" s="33">
        <v>6</v>
      </c>
      <c r="C83" s="230" t="s">
        <v>116</v>
      </c>
      <c r="D83" s="230"/>
      <c r="E83" s="22" t="s">
        <v>100</v>
      </c>
      <c r="F83" s="22" t="s">
        <v>110</v>
      </c>
    </row>
    <row r="84" spans="2:6" ht="16.5" customHeight="1" x14ac:dyDescent="0.3">
      <c r="B84" s="33" t="s">
        <v>31</v>
      </c>
      <c r="C84" s="236" t="s">
        <v>117</v>
      </c>
      <c r="D84" s="236"/>
      <c r="E84" s="119">
        <f>PERC_CUSTOS_INDIRETOS</f>
        <v>4.7300000000000004</v>
      </c>
      <c r="F84" s="90">
        <f>PERC_CUSTOS_INDIRETOS%*(MOD_1_REMUNERACAO_ENC+MOD_2_ENCARGOS_BENEFICIOS_ENC+MOD_3_PROVISAO_RESCISAO_ENC+MOD_4_CUSTO_REPOSICAO_ENC+MOD_5_INSUMOS_ENC)</f>
        <v>0</v>
      </c>
    </row>
    <row r="85" spans="2:6" ht="15.75" customHeight="1" x14ac:dyDescent="0.3">
      <c r="B85" s="22" t="s">
        <v>34</v>
      </c>
      <c r="C85" s="1" t="s">
        <v>118</v>
      </c>
      <c r="D85" s="1"/>
      <c r="E85" s="120">
        <f>PERC_LUCRO</f>
        <v>5.57</v>
      </c>
      <c r="F85" s="91">
        <f>PERC_LUCRO%*(MOD_1_REMUNERACAO_ENC+MOD_2_ENCARGOS_BENEFICIOS_ENC+MOD_3_PROVISAO_RESCISAO_ENC+MOD_4_CUSTO_REPOSICAO_ENC+MOD_5_INSUMOS_ENC+AL_6_A_CUSTOS_INDIRETOS_ENC)</f>
        <v>0</v>
      </c>
    </row>
    <row r="86" spans="2:6" ht="16.5" customHeight="1" x14ac:dyDescent="0.3">
      <c r="B86" s="22" t="s">
        <v>38</v>
      </c>
      <c r="C86" s="236" t="s">
        <v>212</v>
      </c>
      <c r="D86" s="236"/>
      <c r="E86" s="119">
        <f>SUM(E87:E89)</f>
        <v>8.65</v>
      </c>
      <c r="F86" s="90">
        <f>SUM(F87:F89)</f>
        <v>0</v>
      </c>
    </row>
    <row r="87" spans="2:6" ht="15.75" customHeight="1" x14ac:dyDescent="0.3">
      <c r="B87" s="82" t="s">
        <v>119</v>
      </c>
      <c r="C87" s="254" t="s">
        <v>120</v>
      </c>
      <c r="D87" s="254"/>
      <c r="E87" s="121">
        <f>PERC_PIS</f>
        <v>0.65</v>
      </c>
      <c r="F87" s="122">
        <f>((MOD_1_REMUNERACAO_ENC+MOD_2_ENCARGOS_BENEFICIOS_ENC+MOD_3_PROVISAO_RESCISAO_ENC+MOD_4_CUSTO_REPOSICAO_ENC+MOD_5_INSUMOS_ENC+AL_6_A_CUSTOS_INDIRETOS_ENC+AL_6_B_LUCRO_ENC)*PERC_PIS%)/(1-PERC_TRIBUTOS%)</f>
        <v>0</v>
      </c>
    </row>
    <row r="88" spans="2:6" ht="16.5" customHeight="1" x14ac:dyDescent="0.3">
      <c r="B88" s="82" t="s">
        <v>121</v>
      </c>
      <c r="C88" s="255" t="s">
        <v>122</v>
      </c>
      <c r="D88" s="255"/>
      <c r="E88" s="123">
        <f>PERC_COFINS</f>
        <v>3</v>
      </c>
      <c r="F88" s="124">
        <f>((MOD_1_REMUNERACAO_ENC+MOD_2_ENCARGOS_BENEFICIOS_ENC+MOD_3_PROVISAO_RESCISAO_ENC+MOD_4_CUSTO_REPOSICAO_ENC+MOD_5_INSUMOS_ENC+AL_6_A_CUSTOS_INDIRETOS_ENC+AL_6_B_LUCRO_ENC)*PERC_COFINS%)/(1-PERC_TRIBUTOS%)</f>
        <v>0</v>
      </c>
    </row>
    <row r="89" spans="2:6" s="78" customFormat="1" ht="16.5" customHeight="1" x14ac:dyDescent="0.3">
      <c r="B89" s="82" t="s">
        <v>123</v>
      </c>
      <c r="C89" s="254" t="s">
        <v>124</v>
      </c>
      <c r="D89" s="254"/>
      <c r="E89" s="121">
        <f>PERC_ISS</f>
        <v>5</v>
      </c>
      <c r="F89" s="122">
        <f>((MOD_1_REMUNERACAO_ENC+MOD_2_ENCARGOS_BENEFICIOS_ENC+MOD_3_PROVISAO_RESCISAO_ENC+MOD_4_CUSTO_REPOSICAO_ENC+MOD_5_INSUMOS_ENC+AL_6_A_CUSTOS_INDIRETOS_ENC+AL_6_B_LUCRO_ENC)*PERC_ISS%)/(1-PERC_TRIBUTOS%)</f>
        <v>0</v>
      </c>
    </row>
    <row r="90" spans="2:6" s="78" customFormat="1" x14ac:dyDescent="0.3">
      <c r="B90" s="230" t="s">
        <v>15</v>
      </c>
      <c r="C90" s="230"/>
      <c r="D90" s="230"/>
      <c r="E90" s="230"/>
      <c r="F90" s="125">
        <f>IF(QTDE_DE_ENC=0,0,AL_6_A_CUSTOS_INDIRETOS_ENC+AL_6_B_LUCRO_ENC+AL_6_C_TRIBUTOS_ENC)</f>
        <v>0</v>
      </c>
    </row>
    <row r="91" spans="2:6" s="78" customFormat="1" ht="20.25" x14ac:dyDescent="0.3">
      <c r="B91" s="126" t="s">
        <v>213</v>
      </c>
      <c r="C91" s="127"/>
      <c r="D91" s="127"/>
      <c r="E91" s="127"/>
      <c r="F91" s="128"/>
    </row>
    <row r="92" spans="2:6" s="79" customFormat="1" ht="16.5" customHeight="1" x14ac:dyDescent="0.3">
      <c r="B92" s="22" t="s">
        <v>214</v>
      </c>
      <c r="C92" s="226" t="s">
        <v>215</v>
      </c>
      <c r="D92" s="226"/>
      <c r="E92" s="226"/>
      <c r="F92" s="22" t="s">
        <v>216</v>
      </c>
    </row>
    <row r="93" spans="2:6" s="78" customFormat="1" ht="16.5" customHeight="1" x14ac:dyDescent="0.3">
      <c r="B93" s="33">
        <v>1</v>
      </c>
      <c r="C93" s="236" t="s">
        <v>75</v>
      </c>
      <c r="D93" s="236"/>
      <c r="E93" s="236"/>
      <c r="F93" s="90">
        <f>MOD_1_REMUNERACAO_ENC</f>
        <v>0</v>
      </c>
    </row>
    <row r="94" spans="2:6" s="80" customFormat="1" ht="16.5" customHeight="1" x14ac:dyDescent="0.3">
      <c r="B94" s="22">
        <v>2</v>
      </c>
      <c r="C94" s="1" t="s">
        <v>217</v>
      </c>
      <c r="D94" s="1"/>
      <c r="E94" s="1"/>
      <c r="F94" s="91">
        <f>MOD_2_ENCARGOS_BENEFICIOS_ENC</f>
        <v>0</v>
      </c>
    </row>
    <row r="95" spans="2:6" s="80" customFormat="1" ht="16.5" customHeight="1" x14ac:dyDescent="0.3">
      <c r="B95" s="22">
        <v>3</v>
      </c>
      <c r="C95" s="236" t="s">
        <v>142</v>
      </c>
      <c r="D95" s="236"/>
      <c r="E95" s="236"/>
      <c r="F95" s="90">
        <f>MOD_3_PROVISAO_RESCISAO_ENC</f>
        <v>0</v>
      </c>
    </row>
    <row r="96" spans="2:6" s="80" customFormat="1" ht="16.5" customHeight="1" x14ac:dyDescent="0.3">
      <c r="B96" s="22">
        <v>4</v>
      </c>
      <c r="C96" s="1" t="s">
        <v>218</v>
      </c>
      <c r="D96" s="1"/>
      <c r="E96" s="1"/>
      <c r="F96" s="91">
        <f>MOD_4_CUSTO_REPOSICAO_ENC</f>
        <v>0</v>
      </c>
    </row>
    <row r="97" spans="2:6" s="80" customFormat="1" ht="16.5" customHeight="1" x14ac:dyDescent="0.3">
      <c r="B97" s="22">
        <v>5</v>
      </c>
      <c r="C97" s="236" t="s">
        <v>109</v>
      </c>
      <c r="D97" s="236"/>
      <c r="E97" s="236"/>
      <c r="F97" s="90">
        <f>MOD_5_INSUMOS_ENC</f>
        <v>0</v>
      </c>
    </row>
    <row r="98" spans="2:6" s="80" customFormat="1" ht="16.5" customHeight="1" x14ac:dyDescent="0.3">
      <c r="B98" s="22">
        <v>6</v>
      </c>
      <c r="C98" s="1" t="s">
        <v>116</v>
      </c>
      <c r="D98" s="1"/>
      <c r="E98" s="1"/>
      <c r="F98" s="91">
        <f>MOD_6_CUSTOS_IND_LUCRO_TRIB_ENC</f>
        <v>0</v>
      </c>
    </row>
    <row r="99" spans="2:6" ht="16.5" customHeight="1" x14ac:dyDescent="0.3">
      <c r="B99" s="226" t="s">
        <v>219</v>
      </c>
      <c r="C99" s="226"/>
      <c r="D99" s="226"/>
      <c r="E99" s="226"/>
      <c r="F99" s="125">
        <f>IF(QTDE_DE_ENC=0,0,SUM(F93:F98))</f>
        <v>0</v>
      </c>
    </row>
  </sheetData>
  <sheetProtection sheet="1" objects="1" scenarios="1"/>
  <mergeCells count="91">
    <mergeCell ref="C95:E95"/>
    <mergeCell ref="C96:E96"/>
    <mergeCell ref="C97:E97"/>
    <mergeCell ref="C98:E98"/>
    <mergeCell ref="B99:E99"/>
    <mergeCell ref="C89:D89"/>
    <mergeCell ref="B90:E90"/>
    <mergeCell ref="C92:E92"/>
    <mergeCell ref="C93:E93"/>
    <mergeCell ref="C94:E94"/>
    <mergeCell ref="C84:D84"/>
    <mergeCell ref="C85:D85"/>
    <mergeCell ref="C86:D86"/>
    <mergeCell ref="C87:D87"/>
    <mergeCell ref="C88:D88"/>
    <mergeCell ref="C79:E79"/>
    <mergeCell ref="C80:E80"/>
    <mergeCell ref="B81:E81"/>
    <mergeCell ref="B82:F82"/>
    <mergeCell ref="C83:D83"/>
    <mergeCell ref="C73:E73"/>
    <mergeCell ref="B74:E74"/>
    <mergeCell ref="C76:E76"/>
    <mergeCell ref="C77:E77"/>
    <mergeCell ref="C78:E78"/>
    <mergeCell ref="C67:D67"/>
    <mergeCell ref="C68:D68"/>
    <mergeCell ref="C69:D69"/>
    <mergeCell ref="B70:E70"/>
    <mergeCell ref="C72:E72"/>
    <mergeCell ref="B60:E60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49:E49"/>
    <mergeCell ref="C50:E50"/>
    <mergeCell ref="B51:E51"/>
    <mergeCell ref="C53:D53"/>
    <mergeCell ref="C54:D54"/>
    <mergeCell ref="B43:E43"/>
    <mergeCell ref="C45:E45"/>
    <mergeCell ref="C46:E46"/>
    <mergeCell ref="C47:E47"/>
    <mergeCell ref="C48:E48"/>
    <mergeCell ref="C38:D38"/>
    <mergeCell ref="C39:D39"/>
    <mergeCell ref="C40:D40"/>
    <mergeCell ref="C41:D41"/>
    <mergeCell ref="C42:D42"/>
    <mergeCell ref="B33:F33"/>
    <mergeCell ref="C34:D34"/>
    <mergeCell ref="C35:D35"/>
    <mergeCell ref="C36:D36"/>
    <mergeCell ref="C37:D37"/>
    <mergeCell ref="B26:E26"/>
    <mergeCell ref="C29:D29"/>
    <mergeCell ref="C30:D30"/>
    <mergeCell ref="C31:D31"/>
    <mergeCell ref="B32:E32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C20:E20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scale="90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9"/>
  <sheetViews>
    <sheetView topLeftCell="A28" zoomScale="90" zoomScaleNormal="90" workbookViewId="0">
      <selection activeCell="F48" sqref="F48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7" width="9.140625" style="15" customWidth="1"/>
    <col min="8" max="8" width="18.85546875" style="129" customWidth="1"/>
    <col min="9" max="9" width="14.85546875" style="129" customWidth="1"/>
    <col min="10" max="10" width="12.7109375" style="129" customWidth="1"/>
    <col min="11" max="11" width="14" style="129" customWidth="1"/>
    <col min="12" max="12" width="13.7109375" style="130" customWidth="1"/>
    <col min="13" max="13" width="9.42578125" style="130" customWidth="1"/>
    <col min="14" max="14" width="12.85546875" style="130" customWidth="1"/>
    <col min="15" max="1025" width="9.140625" style="15" customWidth="1"/>
  </cols>
  <sheetData>
    <row r="1" spans="2:6" s="15" customFormat="1" ht="20.25" x14ac:dyDescent="0.35">
      <c r="B1" s="243" t="str">
        <f>RAMO</f>
        <v>RAMO: MINISTÉRIO PÚBLICO FEDERAL</v>
      </c>
      <c r="C1" s="243"/>
      <c r="D1" s="243"/>
      <c r="E1" s="243"/>
      <c r="F1" s="243"/>
    </row>
    <row r="2" spans="2:6" s="15" customFormat="1" ht="20.25" x14ac:dyDescent="0.35">
      <c r="B2" s="244" t="str">
        <f>UG</f>
        <v>UNIDADE GESTORA (SIGLA): PR/AP</v>
      </c>
      <c r="C2" s="244"/>
      <c r="D2" s="244"/>
      <c r="E2" s="99" t="s">
        <v>3</v>
      </c>
      <c r="F2" s="100">
        <f>IF(DATA_DO_ORCAMENTO_ESTIMATIVO="","",DATA_DO_ORCAMENTO_ESTIMATIVO)</f>
        <v>43921</v>
      </c>
    </row>
    <row r="3" spans="2:6" s="18" customFormat="1" ht="25.5" x14ac:dyDescent="0.5">
      <c r="B3" s="12" t="s">
        <v>220</v>
      </c>
      <c r="C3" s="12"/>
      <c r="D3" s="12"/>
      <c r="E3" s="12"/>
      <c r="F3" s="12"/>
    </row>
    <row r="4" spans="2:6" s="18" customFormat="1" ht="15.95" customHeight="1" x14ac:dyDescent="0.3">
      <c r="B4" s="10" t="s">
        <v>7</v>
      </c>
      <c r="C4" s="10"/>
      <c r="D4" s="10"/>
      <c r="E4" s="10"/>
      <c r="F4" s="10"/>
    </row>
    <row r="5" spans="2:6" s="18" customFormat="1" ht="15.95" customHeight="1" x14ac:dyDescent="0.3">
      <c r="B5" s="8" t="s">
        <v>203</v>
      </c>
      <c r="C5" s="8"/>
      <c r="D5" s="224" t="str">
        <f>NUMERO_PROCESSO</f>
        <v>1.12.000.001095/2019-21</v>
      </c>
      <c r="E5" s="224"/>
      <c r="F5" s="224"/>
    </row>
    <row r="6" spans="2:6" s="18" customFormat="1" ht="15.75" customHeight="1" x14ac:dyDescent="0.3">
      <c r="B6" s="5" t="s">
        <v>204</v>
      </c>
      <c r="C6" s="5"/>
      <c r="D6" s="245" t="str">
        <f>MODALIDADE_DE_LICITACAO</f>
        <v>Pregão nº</v>
      </c>
      <c r="E6" s="245"/>
      <c r="F6" s="101" t="str">
        <f>NUMERO_PREGAO</f>
        <v>XX/2020</v>
      </c>
    </row>
    <row r="7" spans="2:6" s="24" customFormat="1" ht="15.75" customHeight="1" x14ac:dyDescent="0.3">
      <c r="B7" s="246" t="s">
        <v>205</v>
      </c>
      <c r="C7" s="246"/>
      <c r="D7" s="246"/>
      <c r="E7" s="246"/>
      <c r="F7" s="246"/>
    </row>
    <row r="8" spans="2:6" s="18" customFormat="1" ht="18" customHeight="1" x14ac:dyDescent="0.3">
      <c r="B8" s="34" t="s">
        <v>31</v>
      </c>
      <c r="C8" s="8" t="s">
        <v>32</v>
      </c>
      <c r="D8" s="8"/>
      <c r="E8" s="8"/>
      <c r="F8" s="102" t="str">
        <f>DATA_APRESENTACAO_PROPOSTA</f>
        <v>XX/XX/20XX</v>
      </c>
    </row>
    <row r="9" spans="2:6" s="18" customFormat="1" ht="15.95" customHeight="1" x14ac:dyDescent="0.15">
      <c r="B9" s="33" t="s">
        <v>34</v>
      </c>
      <c r="C9" s="37" t="s">
        <v>35</v>
      </c>
      <c r="D9" s="238" t="str">
        <f>IF(LOCAL_DE_EXECUCAO="","",LOCAL_DE_EXECUCAO)</f>
        <v>Sede e Anexo</v>
      </c>
      <c r="E9" s="238"/>
      <c r="F9" s="238"/>
    </row>
    <row r="10" spans="2:6" s="18" customFormat="1" ht="18.75" customHeight="1" x14ac:dyDescent="0.3">
      <c r="B10" s="34" t="s">
        <v>38</v>
      </c>
      <c r="C10" s="8" t="s">
        <v>43</v>
      </c>
      <c r="D10" s="8"/>
      <c r="E10" s="8"/>
      <c r="F10" s="103" t="str">
        <f>ACORDO_COLETIVO</f>
        <v>XX/2019</v>
      </c>
    </row>
    <row r="11" spans="2:6" s="18" customFormat="1" ht="15.95" customHeight="1" x14ac:dyDescent="0.3">
      <c r="B11" s="33" t="s">
        <v>42</v>
      </c>
      <c r="C11" s="238" t="s">
        <v>46</v>
      </c>
      <c r="D11" s="238"/>
      <c r="E11" s="238"/>
      <c r="F11" s="68">
        <f>NUMERO_MESES_EXEC_CONTRATUAL</f>
        <v>12</v>
      </c>
    </row>
    <row r="12" spans="2:6" s="18" customFormat="1" x14ac:dyDescent="0.3">
      <c r="B12" s="33" t="s">
        <v>45</v>
      </c>
      <c r="C12" s="247" t="s">
        <v>221</v>
      </c>
      <c r="D12" s="247"/>
      <c r="E12" s="247"/>
      <c r="F12" s="39">
        <f>IF(QTDE_DE_SERV=0,"",QTDE_DE_SERV)</f>
        <v>3</v>
      </c>
    </row>
    <row r="13" spans="2:6" s="104" customFormat="1" ht="15" customHeight="1" x14ac:dyDescent="0.2">
      <c r="B13" s="105" t="s">
        <v>73</v>
      </c>
      <c r="C13" s="106"/>
      <c r="D13" s="106"/>
      <c r="E13" s="106"/>
      <c r="F13" s="106"/>
    </row>
    <row r="14" spans="2:6" s="18" customFormat="1" x14ac:dyDescent="0.3">
      <c r="B14" s="34">
        <v>1</v>
      </c>
      <c r="C14" s="8" t="s">
        <v>67</v>
      </c>
      <c r="D14" s="8"/>
      <c r="E14" s="224" t="str">
        <f>TIPO_DE_SERVICO</f>
        <v>Limpeza e Conservação</v>
      </c>
      <c r="F14" s="224"/>
    </row>
    <row r="15" spans="2:6" s="24" customFormat="1" x14ac:dyDescent="0.3">
      <c r="B15" s="34">
        <v>2</v>
      </c>
      <c r="C15" s="54" t="s">
        <v>69</v>
      </c>
      <c r="D15" s="248" t="str">
        <f>CBO</f>
        <v>5143-20</v>
      </c>
      <c r="E15" s="248"/>
      <c r="F15" s="248"/>
    </row>
    <row r="16" spans="2:6" s="18" customFormat="1" ht="15" customHeight="1" x14ac:dyDescent="0.3">
      <c r="B16" s="34">
        <v>3</v>
      </c>
      <c r="C16" s="107" t="s">
        <v>207</v>
      </c>
      <c r="D16" s="224" t="str">
        <f>CATEGORIA_PROFISSIONAL_SERV</f>
        <v>Servente</v>
      </c>
      <c r="E16" s="224"/>
      <c r="F16" s="224"/>
    </row>
    <row r="17" spans="2:14" s="18" customFormat="1" ht="15" customHeight="1" x14ac:dyDescent="0.3">
      <c r="B17" s="34">
        <v>4</v>
      </c>
      <c r="C17" s="5" t="s">
        <v>71</v>
      </c>
      <c r="D17" s="5"/>
      <c r="E17" s="5"/>
      <c r="F17" s="131">
        <f>DATA_BASE_CATEGORIA</f>
        <v>43466</v>
      </c>
    </row>
    <row r="18" spans="2:14" s="109" customFormat="1" ht="20.25" customHeight="1" x14ac:dyDescent="0.3">
      <c r="B18" s="250" t="s">
        <v>208</v>
      </c>
      <c r="C18" s="250"/>
      <c r="D18" s="250"/>
      <c r="E18" s="250"/>
      <c r="F18" s="250"/>
    </row>
    <row r="19" spans="2:14" x14ac:dyDescent="0.3">
      <c r="B19" s="60" t="s">
        <v>74</v>
      </c>
      <c r="E19" s="61"/>
      <c r="F19" s="61"/>
    </row>
    <row r="20" spans="2:14" ht="16.5" customHeight="1" x14ac:dyDescent="0.3">
      <c r="B20" s="33">
        <v>1</v>
      </c>
      <c r="C20" s="226" t="s">
        <v>75</v>
      </c>
      <c r="D20" s="226"/>
      <c r="E20" s="226"/>
      <c r="F20" s="22" t="s">
        <v>110</v>
      </c>
    </row>
    <row r="21" spans="2:14" ht="16.5" customHeight="1" x14ac:dyDescent="0.3">
      <c r="B21" s="33" t="s">
        <v>31</v>
      </c>
      <c r="C21" s="231" t="s">
        <v>209</v>
      </c>
      <c r="D21" s="231"/>
      <c r="E21" s="231"/>
      <c r="F21" s="110">
        <f>SALARIO_NORMATIVO_SERV</f>
        <v>1050.25</v>
      </c>
    </row>
    <row r="22" spans="2:14" s="15" customFormat="1" ht="16.5" customHeight="1" x14ac:dyDescent="0.3">
      <c r="B22" s="33" t="s">
        <v>34</v>
      </c>
      <c r="C22" s="1" t="s">
        <v>210</v>
      </c>
      <c r="D22" s="1"/>
      <c r="E22" s="1"/>
      <c r="F22" s="111">
        <f>IF(ADIC_INSALUB_SERV="SIM",PERC_ADIC_INSALUB%*SAL_MINIMO,0)</f>
        <v>0</v>
      </c>
    </row>
    <row r="23" spans="2:14" x14ac:dyDescent="0.3">
      <c r="B23" s="33" t="s">
        <v>38</v>
      </c>
      <c r="C23" s="231" t="str">
        <f>OUTROS_REMUNERACAO_1_DESCRICAO</f>
        <v>Outras Remunerações 1 (Especificar)</v>
      </c>
      <c r="D23" s="231"/>
      <c r="E23" s="231"/>
      <c r="F23" s="110">
        <f>OUTROS_REMUNERACAO_1</f>
        <v>0</v>
      </c>
    </row>
    <row r="24" spans="2:14" ht="15.75" customHeight="1" x14ac:dyDescent="0.3">
      <c r="B24" s="33" t="s">
        <v>42</v>
      </c>
      <c r="C24" s="227" t="str">
        <f>OUTROS_REMUNERACAO_2_DESCRICAO</f>
        <v>Outras Remunerações 2 (Especificar)</v>
      </c>
      <c r="D24" s="227"/>
      <c r="E24" s="227"/>
      <c r="F24" s="111">
        <f>OUTROS_REMUNERACAO_2</f>
        <v>0</v>
      </c>
    </row>
    <row r="25" spans="2:14" ht="15.75" customHeight="1" x14ac:dyDescent="0.3">
      <c r="B25" s="33" t="s">
        <v>45</v>
      </c>
      <c r="C25" s="231" t="str">
        <f>OUTROS_REMUNERACAO_3_DESCRICAO</f>
        <v>Outras Remunerações 3 (Especificar)</v>
      </c>
      <c r="D25" s="231"/>
      <c r="E25" s="231"/>
      <c r="F25" s="110">
        <f>OUTROS_REMUNERACAO_3</f>
        <v>0</v>
      </c>
    </row>
    <row r="26" spans="2:14" ht="15.75" customHeight="1" x14ac:dyDescent="0.3">
      <c r="B26" s="226" t="s">
        <v>15</v>
      </c>
      <c r="C26" s="226"/>
      <c r="D26" s="226"/>
      <c r="E26" s="226"/>
      <c r="F26" s="112">
        <f>SUM(F21:F25)</f>
        <v>1050.25</v>
      </c>
      <c r="L26" s="129"/>
      <c r="M26" s="129"/>
    </row>
    <row r="27" spans="2:14" x14ac:dyDescent="0.3">
      <c r="B27" s="60" t="s">
        <v>81</v>
      </c>
      <c r="E27" s="65"/>
      <c r="F27" s="65"/>
      <c r="L27" s="129"/>
      <c r="M27" s="129"/>
    </row>
    <row r="28" spans="2:14" x14ac:dyDescent="0.3">
      <c r="B28" s="60" t="s">
        <v>161</v>
      </c>
      <c r="C28" s="71"/>
      <c r="D28" s="72"/>
      <c r="E28" s="73"/>
      <c r="F28" s="73"/>
      <c r="L28" s="129"/>
      <c r="M28" s="129"/>
      <c r="N28" s="132"/>
    </row>
    <row r="29" spans="2:14" x14ac:dyDescent="0.3">
      <c r="B29" s="33" t="s">
        <v>162</v>
      </c>
      <c r="C29" s="230" t="s">
        <v>163</v>
      </c>
      <c r="D29" s="230"/>
      <c r="E29" s="22" t="s">
        <v>100</v>
      </c>
      <c r="F29" s="22" t="s">
        <v>110</v>
      </c>
      <c r="L29" s="129"/>
      <c r="M29" s="129"/>
      <c r="N29" s="132"/>
    </row>
    <row r="30" spans="2:14" ht="16.5" customHeight="1" x14ac:dyDescent="0.3">
      <c r="B30" s="33" t="s">
        <v>31</v>
      </c>
      <c r="C30" s="236" t="s">
        <v>165</v>
      </c>
      <c r="D30" s="236"/>
      <c r="E30" s="93">
        <f>PERC_DEC_TERC</f>
        <v>8.3333333333333321</v>
      </c>
      <c r="F30" s="90">
        <f>PERC_DEC_TERC%*MOD_1_REMUNERACAO_SERV</f>
        <v>87.520833333333314</v>
      </c>
      <c r="L30" s="129"/>
      <c r="M30" s="129"/>
      <c r="N30" s="132"/>
    </row>
    <row r="31" spans="2:14" ht="16.5" customHeight="1" x14ac:dyDescent="0.3">
      <c r="B31" s="22" t="s">
        <v>34</v>
      </c>
      <c r="C31" s="1" t="s">
        <v>167</v>
      </c>
      <c r="D31" s="1"/>
      <c r="E31" s="95">
        <f>PERC_ADIC_FERIAS</f>
        <v>2.7777777777777777</v>
      </c>
      <c r="F31" s="91">
        <f>PERC_ADIC_FERIAS%*MOD_1_REMUNERACAO_SERV</f>
        <v>29.173611111111111</v>
      </c>
      <c r="L31" s="129"/>
      <c r="M31" s="129"/>
      <c r="N31" s="132"/>
    </row>
    <row r="32" spans="2:14" x14ac:dyDescent="0.3">
      <c r="B32" s="230" t="s">
        <v>15</v>
      </c>
      <c r="C32" s="230"/>
      <c r="D32" s="230"/>
      <c r="E32" s="230"/>
      <c r="F32" s="113">
        <f>SUM(F30:F31)</f>
        <v>116.69444444444443</v>
      </c>
      <c r="L32" s="129"/>
      <c r="M32" s="129"/>
    </row>
    <row r="33" spans="2:14" ht="16.5" customHeight="1" x14ac:dyDescent="0.3">
      <c r="B33" s="251" t="s">
        <v>169</v>
      </c>
      <c r="C33" s="251"/>
      <c r="D33" s="251"/>
      <c r="E33" s="251"/>
      <c r="F33" s="251"/>
      <c r="L33" s="129"/>
      <c r="M33" s="129"/>
    </row>
    <row r="34" spans="2:14" ht="16.5" customHeight="1" x14ac:dyDescent="0.3">
      <c r="B34" s="33" t="s">
        <v>170</v>
      </c>
      <c r="C34" s="240" t="s">
        <v>171</v>
      </c>
      <c r="D34" s="240"/>
      <c r="E34" s="22" t="s">
        <v>100</v>
      </c>
      <c r="F34" s="22" t="s">
        <v>110</v>
      </c>
      <c r="L34" s="129"/>
      <c r="M34" s="129"/>
    </row>
    <row r="35" spans="2:14" s="94" customFormat="1" ht="16.5" customHeight="1" x14ac:dyDescent="0.3">
      <c r="B35" s="33" t="s">
        <v>31</v>
      </c>
      <c r="C35" s="236" t="s">
        <v>172</v>
      </c>
      <c r="D35" s="236"/>
      <c r="E35" s="93">
        <f>PERC_INSS</f>
        <v>20</v>
      </c>
      <c r="F35" s="90">
        <f>PERC_INSS%*(MOD_1_REMUNERACAO_SERV+SUBMOD_2_1_DEC_TERC_ADIC_FERIAS_SERV)</f>
        <v>233.38888888888889</v>
      </c>
      <c r="H35" s="129"/>
      <c r="I35" s="129"/>
      <c r="J35" s="129"/>
      <c r="K35" s="129"/>
      <c r="L35" s="129"/>
      <c r="M35" s="129"/>
      <c r="N35" s="130"/>
    </row>
    <row r="36" spans="2:14" s="64" customFormat="1" ht="16.5" customHeight="1" x14ac:dyDescent="0.3">
      <c r="B36" s="22" t="s">
        <v>34</v>
      </c>
      <c r="C36" s="1" t="s">
        <v>173</v>
      </c>
      <c r="D36" s="1"/>
      <c r="E36" s="96">
        <f>PERC_SAL_EDUCACAO</f>
        <v>2.5</v>
      </c>
      <c r="F36" s="91">
        <f>PERC_SAL_EDUCACAO%*(MOD_1_REMUNERACAO_SERV+SUBMOD_2_1_DEC_TERC_ADIC_FERIAS_SERV)</f>
        <v>29.173611111111111</v>
      </c>
      <c r="H36" s="129"/>
      <c r="I36" s="129"/>
      <c r="J36" s="129"/>
      <c r="K36" s="129"/>
      <c r="L36" s="129"/>
      <c r="M36" s="129"/>
      <c r="N36" s="130"/>
    </row>
    <row r="37" spans="2:14" s="64" customFormat="1" ht="16.5" customHeight="1" x14ac:dyDescent="0.3">
      <c r="B37" s="22" t="s">
        <v>38</v>
      </c>
      <c r="C37" s="236" t="s">
        <v>174</v>
      </c>
      <c r="D37" s="236"/>
      <c r="E37" s="93">
        <f>PERC_RAT</f>
        <v>3</v>
      </c>
      <c r="F37" s="90">
        <f>PERC_RAT%*(MOD_1_REMUNERACAO_SERV+SUBMOD_2_1_DEC_TERC_ADIC_FERIAS_SERV)</f>
        <v>35.008333333333326</v>
      </c>
      <c r="H37" s="129"/>
      <c r="I37" s="129"/>
      <c r="J37" s="129"/>
      <c r="K37" s="129"/>
      <c r="L37" s="129"/>
      <c r="M37" s="129"/>
      <c r="N37" s="130"/>
    </row>
    <row r="38" spans="2:14" s="64" customFormat="1" ht="16.5" customHeight="1" x14ac:dyDescent="0.3">
      <c r="B38" s="22" t="s">
        <v>42</v>
      </c>
      <c r="C38" s="1" t="s">
        <v>175</v>
      </c>
      <c r="D38" s="1"/>
      <c r="E38" s="95">
        <f>PERC_SESC</f>
        <v>1.5</v>
      </c>
      <c r="F38" s="91">
        <f>PERC_SESC%*(MOD_1_REMUNERACAO_SERV+SUBMOD_2_1_DEC_TERC_ADIC_FERIAS_SERV)</f>
        <v>17.504166666666663</v>
      </c>
      <c r="H38" s="129"/>
      <c r="I38" s="129"/>
      <c r="J38" s="129"/>
      <c r="K38" s="129"/>
      <c r="L38" s="129"/>
      <c r="M38" s="129"/>
      <c r="N38" s="130"/>
    </row>
    <row r="39" spans="2:14" ht="16.5" customHeight="1" x14ac:dyDescent="0.3">
      <c r="B39" s="22" t="s">
        <v>45</v>
      </c>
      <c r="C39" s="236" t="s">
        <v>176</v>
      </c>
      <c r="D39" s="236"/>
      <c r="E39" s="93">
        <f>PERC_SENAC</f>
        <v>1</v>
      </c>
      <c r="F39" s="90">
        <f>PERC_SENAC%*(MOD_1_REMUNERACAO_SERV+SUBMOD_2_1_DEC_TERC_ADIC_FERIAS_SERV)</f>
        <v>11.669444444444444</v>
      </c>
      <c r="L39" s="129"/>
      <c r="M39" s="129"/>
    </row>
    <row r="40" spans="2:14" s="18" customFormat="1" ht="16.5" customHeight="1" x14ac:dyDescent="0.15">
      <c r="B40" s="22" t="s">
        <v>94</v>
      </c>
      <c r="C40" s="1" t="s">
        <v>177</v>
      </c>
      <c r="D40" s="1"/>
      <c r="E40" s="96">
        <f>PERC_SEBRAE</f>
        <v>0.6</v>
      </c>
      <c r="F40" s="91">
        <f>PERC_SEBRAE%*(MOD_1_REMUNERACAO_SERV+SUBMOD_2_1_DEC_TERC_ADIC_FERIAS_SERV)</f>
        <v>7.001666666666666</v>
      </c>
      <c r="H40" s="130"/>
      <c r="I40" s="130"/>
      <c r="J40" s="130"/>
      <c r="K40" s="130"/>
      <c r="L40" s="130"/>
      <c r="M40" s="130"/>
      <c r="N40" s="130"/>
    </row>
    <row r="41" spans="2:14" s="18" customFormat="1" ht="16.5" customHeight="1" x14ac:dyDescent="0.15">
      <c r="B41" s="22" t="s">
        <v>135</v>
      </c>
      <c r="C41" s="236" t="s">
        <v>178</v>
      </c>
      <c r="D41" s="236"/>
      <c r="E41" s="93">
        <f>PERC_INCRA</f>
        <v>0.2</v>
      </c>
      <c r="F41" s="90">
        <f>PERC_INCRA%*(MOD_1_REMUNERACAO_SERV+SUBMOD_2_1_DEC_TERC_ADIC_FERIAS_SERV)</f>
        <v>2.3338888888888887</v>
      </c>
      <c r="H41" s="130"/>
      <c r="I41" s="130"/>
      <c r="J41" s="130"/>
      <c r="K41" s="130"/>
      <c r="L41" s="130"/>
      <c r="M41" s="130"/>
      <c r="N41" s="130"/>
    </row>
    <row r="42" spans="2:14" s="18" customFormat="1" ht="16.5" customHeight="1" x14ac:dyDescent="0.15">
      <c r="B42" s="22" t="s">
        <v>137</v>
      </c>
      <c r="C42" s="1" t="s">
        <v>179</v>
      </c>
      <c r="D42" s="1"/>
      <c r="E42" s="96">
        <f>PERC_FGTS</f>
        <v>8</v>
      </c>
      <c r="F42" s="91">
        <f>PERC_FGTS%*(MOD_1_REMUNERACAO_SERV+SUBMOD_2_1_DEC_TERC_ADIC_FERIAS_SERV)</f>
        <v>93.355555555555554</v>
      </c>
      <c r="H42" s="130"/>
      <c r="I42" s="130"/>
      <c r="J42" s="130"/>
      <c r="K42" s="130"/>
      <c r="L42" s="130"/>
      <c r="M42" s="130"/>
      <c r="N42" s="130"/>
    </row>
    <row r="43" spans="2:14" s="18" customFormat="1" x14ac:dyDescent="0.15">
      <c r="B43" s="230" t="s">
        <v>15</v>
      </c>
      <c r="C43" s="230"/>
      <c r="D43" s="230"/>
      <c r="E43" s="230"/>
      <c r="F43" s="114">
        <f>SUM(F35:F42)</f>
        <v>429.43555555555554</v>
      </c>
      <c r="H43" s="130"/>
      <c r="I43" s="130"/>
      <c r="J43" s="130"/>
      <c r="K43" s="130"/>
      <c r="L43" s="130"/>
      <c r="M43" s="130"/>
      <c r="N43" s="130"/>
    </row>
    <row r="44" spans="2:14" s="24" customFormat="1" x14ac:dyDescent="0.3">
      <c r="B44" s="60" t="s">
        <v>82</v>
      </c>
      <c r="H44" s="130"/>
      <c r="I44" s="130"/>
      <c r="J44" s="130"/>
      <c r="K44" s="130"/>
      <c r="L44" s="130"/>
      <c r="M44" s="130"/>
      <c r="N44" s="130"/>
    </row>
    <row r="45" spans="2:14" s="24" customFormat="1" ht="16.5" customHeight="1" x14ac:dyDescent="0.15">
      <c r="B45" s="33" t="s">
        <v>83</v>
      </c>
      <c r="C45" s="226" t="s">
        <v>84</v>
      </c>
      <c r="D45" s="226"/>
      <c r="E45" s="226"/>
      <c r="F45" s="22" t="s">
        <v>110</v>
      </c>
      <c r="H45" s="133"/>
      <c r="I45" s="133"/>
      <c r="J45" s="133"/>
      <c r="K45" s="133"/>
      <c r="L45" s="133"/>
      <c r="M45" s="133"/>
      <c r="N45" s="133"/>
    </row>
    <row r="46" spans="2:14" ht="16.5" customHeight="1" x14ac:dyDescent="0.3">
      <c r="B46" s="34" t="s">
        <v>31</v>
      </c>
      <c r="C46" s="236" t="s">
        <v>87</v>
      </c>
      <c r="D46" s="236"/>
      <c r="E46" s="236"/>
      <c r="F46" s="90">
        <f>IF(((TRANSPORTE_POR_DIA*DIAS_TRABALHADOS_NO_MES)-(PERC_DESC_TRANSP_REMUNERACAO%*(AL_1_A_SAL_BASE_SERV)))&gt;0,((TRANSPORTE_POR_DIA*DIAS_TRABALHADOS_NO_MES)-(PERC_DESC_TRANSP_REMUNERACAO%*(AL_1_A_SAL_BASE_SERV))),0)</f>
        <v>262.58500000000004</v>
      </c>
      <c r="H46" s="133"/>
      <c r="I46" s="133"/>
      <c r="J46" s="133"/>
      <c r="K46" s="133"/>
      <c r="L46" s="133"/>
      <c r="M46" s="133"/>
      <c r="N46" s="133"/>
    </row>
    <row r="47" spans="2:14" ht="16.5" customHeight="1" x14ac:dyDescent="0.3">
      <c r="B47" s="34" t="s">
        <v>34</v>
      </c>
      <c r="C47" s="1" t="s">
        <v>89</v>
      </c>
      <c r="D47" s="1"/>
      <c r="E47" s="1"/>
      <c r="F47" s="91">
        <f>ALIMENTACAO_POR_DIA*DIAS_TRABALHADOS_NO_MES</f>
        <v>399.96</v>
      </c>
      <c r="H47" s="133"/>
      <c r="I47" s="133"/>
      <c r="J47" s="133"/>
      <c r="K47" s="133"/>
      <c r="L47" s="133"/>
      <c r="M47" s="133"/>
      <c r="N47" s="133"/>
    </row>
    <row r="48" spans="2:14" ht="15.75" customHeight="1" x14ac:dyDescent="0.3">
      <c r="B48" s="34" t="s">
        <v>38</v>
      </c>
      <c r="C48" s="231" t="str">
        <f>OUTROS_BENEFICIOS_1_DESCRICAO</f>
        <v>Auxílio funeral</v>
      </c>
      <c r="D48" s="231"/>
      <c r="E48" s="231"/>
      <c r="F48" s="90">
        <f>OUTROS_BENEFICIOS_1</f>
        <v>15</v>
      </c>
      <c r="H48" s="133"/>
      <c r="I48" s="133"/>
      <c r="J48" s="133"/>
      <c r="K48" s="133"/>
      <c r="L48" s="133"/>
      <c r="M48" s="133"/>
      <c r="N48" s="133"/>
    </row>
    <row r="49" spans="2:14" ht="15.75" customHeight="1" x14ac:dyDescent="0.3">
      <c r="B49" s="34" t="s">
        <v>42</v>
      </c>
      <c r="C49" s="227" t="str">
        <f>OUTROS_BENEFICIOS_2_DESCRICAO</f>
        <v>Outros Benefícios 2 (Especificar)</v>
      </c>
      <c r="D49" s="227"/>
      <c r="E49" s="227"/>
      <c r="F49" s="91">
        <f>OUTROS_BENEFICIOS_2</f>
        <v>0</v>
      </c>
      <c r="L49" s="129"/>
      <c r="M49" s="129"/>
      <c r="N49" s="134"/>
    </row>
    <row r="50" spans="2:14" x14ac:dyDescent="0.3">
      <c r="B50" s="34" t="s">
        <v>45</v>
      </c>
      <c r="C50" s="231" t="str">
        <f>OUTROS_BENEFICIOS_3_DESCRICAO</f>
        <v>Outros Benefícios 3 (Especificar)</v>
      </c>
      <c r="D50" s="231"/>
      <c r="E50" s="231"/>
      <c r="F50" s="90">
        <f>OUTROS_BENEFICIOS_3</f>
        <v>0</v>
      </c>
      <c r="L50" s="129"/>
      <c r="M50" s="129"/>
      <c r="N50" s="134"/>
    </row>
    <row r="51" spans="2:14" s="64" customFormat="1" ht="16.5" customHeight="1" x14ac:dyDescent="0.3">
      <c r="B51" s="226" t="s">
        <v>15</v>
      </c>
      <c r="C51" s="226"/>
      <c r="D51" s="226"/>
      <c r="E51" s="226"/>
      <c r="F51" s="112">
        <f>SUM(F46:F50)</f>
        <v>677.54500000000007</v>
      </c>
      <c r="H51" s="129"/>
      <c r="I51" s="129"/>
      <c r="J51" s="129"/>
      <c r="K51" s="129"/>
      <c r="L51" s="129"/>
      <c r="M51" s="129"/>
      <c r="N51" s="134"/>
    </row>
    <row r="52" spans="2:14" s="64" customFormat="1" x14ac:dyDescent="0.3">
      <c r="B52" s="60" t="s">
        <v>141</v>
      </c>
      <c r="C52" s="71"/>
      <c r="D52" s="72"/>
      <c r="E52" s="73"/>
      <c r="F52" s="73"/>
      <c r="H52" s="129"/>
      <c r="I52" s="129"/>
      <c r="J52" s="129"/>
      <c r="K52" s="129"/>
      <c r="L52" s="129"/>
      <c r="M52" s="129"/>
      <c r="N52" s="130"/>
    </row>
    <row r="53" spans="2:14" s="64" customFormat="1" x14ac:dyDescent="0.3">
      <c r="B53" s="33">
        <v>3</v>
      </c>
      <c r="C53" s="230" t="s">
        <v>142</v>
      </c>
      <c r="D53" s="230"/>
      <c r="E53" s="22" t="s">
        <v>100</v>
      </c>
      <c r="F53" s="22" t="s">
        <v>110</v>
      </c>
      <c r="H53" s="129"/>
      <c r="I53" s="129"/>
      <c r="J53" s="129"/>
      <c r="K53" s="129"/>
      <c r="L53" s="129"/>
      <c r="M53" s="129"/>
      <c r="N53" s="130"/>
    </row>
    <row r="54" spans="2:14" s="64" customFormat="1" x14ac:dyDescent="0.3">
      <c r="B54" s="33" t="s">
        <v>31</v>
      </c>
      <c r="C54" s="241" t="s">
        <v>180</v>
      </c>
      <c r="D54" s="241"/>
      <c r="E54" s="93">
        <f>PERC_AVISO_PREVIO_IND</f>
        <v>0.26011000000000001</v>
      </c>
      <c r="F54" s="90">
        <f>PERC_AVISO_PREVIO_IND%*(MOD_1_REMUNERACAO_SERV+SUBMOD_2_1_DEC_TERC_ADIC_FERIAS_SERV+AL_2_2_FGTS_SERV+SUBMOD_2_3_BENEFICIOS_SERV)</f>
        <v>5.0405286295000007</v>
      </c>
      <c r="H54" s="129"/>
      <c r="I54" s="129"/>
      <c r="J54" s="129"/>
      <c r="K54" s="129"/>
      <c r="L54" s="129"/>
      <c r="M54" s="129"/>
      <c r="N54" s="130"/>
    </row>
    <row r="55" spans="2:14" s="64" customFormat="1" ht="15" customHeight="1" x14ac:dyDescent="0.3">
      <c r="B55" s="22" t="s">
        <v>34</v>
      </c>
      <c r="C55" s="242" t="s">
        <v>182</v>
      </c>
      <c r="D55" s="242"/>
      <c r="E55" s="96">
        <f>PERC_FGTS_AVISO_PREV_IND</f>
        <v>2.0808800000000002E-2</v>
      </c>
      <c r="F55" s="91">
        <f>PERC_FGTS_AVISO_PREV_IND%*(MOD_1_REMUNERACAO_SERV+SUBMOD_2_1_DEC_TERC_ADIC_FERIAS_SERV)</f>
        <v>0.24282713555555555</v>
      </c>
      <c r="H55" s="129"/>
      <c r="I55" s="129"/>
      <c r="J55" s="129"/>
      <c r="K55" s="129"/>
      <c r="L55" s="129"/>
      <c r="M55" s="129"/>
      <c r="N55" s="134"/>
    </row>
    <row r="56" spans="2:14" s="64" customFormat="1" x14ac:dyDescent="0.3">
      <c r="B56" s="22" t="s">
        <v>38</v>
      </c>
      <c r="C56" s="241" t="s">
        <v>184</v>
      </c>
      <c r="D56" s="241"/>
      <c r="E56" s="93">
        <f>PERC_MULTA_FGTS_AV_PREV_IND</f>
        <v>1.0404400000000001E-2</v>
      </c>
      <c r="F56" s="90">
        <f>PERC_MULTA_FGTS_AV_PREV_IND%*(MOD_1_REMUNERACAO_SERV+SUBMOD_2_1_DEC_TERC_ADIC_FERIAS_SERV)</f>
        <v>0.12141356777777777</v>
      </c>
      <c r="H56" s="129"/>
      <c r="I56" s="129"/>
      <c r="J56" s="129"/>
      <c r="K56" s="129"/>
      <c r="L56" s="129"/>
      <c r="M56" s="129"/>
      <c r="N56" s="130"/>
    </row>
    <row r="57" spans="2:14" s="64" customFormat="1" ht="15" customHeight="1" x14ac:dyDescent="0.3">
      <c r="B57" s="22" t="s">
        <v>42</v>
      </c>
      <c r="C57" s="242" t="s">
        <v>186</v>
      </c>
      <c r="D57" s="242"/>
      <c r="E57" s="96">
        <f>PERC_AVISO_PREVIO_TRAB</f>
        <v>1.0328632222222223</v>
      </c>
      <c r="F57" s="91">
        <f>PERC_AVISO_PREVIO_TRAB%*(MOD_1_REMUNERACAO_SERV+SUBMOD_2_1_DEC_TERC_ADIC_FERIAS_SERV+SUBMOD_2_2_GPS_FGTS_SERV+SUBMOD_2_3_BENEFICIOS_SERV)</f>
        <v>23.48653502591667</v>
      </c>
      <c r="H57" s="129"/>
      <c r="I57" s="129"/>
      <c r="J57" s="129"/>
      <c r="K57" s="129"/>
      <c r="L57" s="129"/>
      <c r="M57" s="129"/>
      <c r="N57" s="130"/>
    </row>
    <row r="58" spans="2:14" s="64" customFormat="1" x14ac:dyDescent="0.3">
      <c r="B58" s="22" t="s">
        <v>45</v>
      </c>
      <c r="C58" s="241" t="s">
        <v>188</v>
      </c>
      <c r="D58" s="241"/>
      <c r="E58" s="93">
        <f>PERC_GPS_FGTS_AVISO_PREVIO_TRAB</f>
        <v>0.38009366577777776</v>
      </c>
      <c r="F58" s="90">
        <f>PERC_GPS_FGTS_AVISO_PREVIO_TRAB%*(MOD_1_REMUNERACAO_SERV+SUBMOD_2_1_DEC_TERC_ADIC_FERIAS_SERV)</f>
        <v>4.435481916479012</v>
      </c>
      <c r="H58" s="129"/>
      <c r="I58" s="129"/>
      <c r="J58" s="129"/>
      <c r="K58" s="129"/>
      <c r="L58" s="129"/>
      <c r="M58" s="129"/>
      <c r="N58" s="135"/>
    </row>
    <row r="59" spans="2:14" s="64" customFormat="1" x14ac:dyDescent="0.3">
      <c r="B59" s="22" t="s">
        <v>94</v>
      </c>
      <c r="C59" s="242" t="s">
        <v>190</v>
      </c>
      <c r="D59" s="242"/>
      <c r="E59" s="96">
        <f>PERC_MULTA_FGTS_AV_PREV_TRAB</f>
        <v>0.05</v>
      </c>
      <c r="F59" s="91">
        <f>PERC_MULTA_FGTS_AV_PREV_TRAB%*(MOD_1_REMUNERACAO_SERV+SUBMOD_2_1_DEC_TERC_ADIC_FERIAS_SERV)</f>
        <v>0.58347222222222217</v>
      </c>
      <c r="H59" s="129"/>
      <c r="I59" s="129"/>
      <c r="J59" s="129"/>
      <c r="K59" s="129"/>
      <c r="L59" s="129"/>
      <c r="M59" s="129"/>
      <c r="N59" s="130"/>
    </row>
    <row r="60" spans="2:14" s="18" customFormat="1" x14ac:dyDescent="0.3">
      <c r="B60" s="230" t="s">
        <v>15</v>
      </c>
      <c r="C60" s="230"/>
      <c r="D60" s="230"/>
      <c r="E60" s="230"/>
      <c r="F60" s="113">
        <f>SUM(F54:F59)</f>
        <v>33.910258497451238</v>
      </c>
      <c r="H60" s="129"/>
      <c r="I60" s="129"/>
      <c r="J60" s="129"/>
      <c r="K60" s="129"/>
      <c r="L60" s="129"/>
      <c r="M60" s="129"/>
      <c r="N60" s="130"/>
    </row>
    <row r="61" spans="2:14" s="18" customFormat="1" x14ac:dyDescent="0.3">
      <c r="B61" s="60" t="s">
        <v>96</v>
      </c>
      <c r="C61" s="71"/>
      <c r="D61" s="72"/>
      <c r="E61" s="15"/>
      <c r="F61" s="15"/>
      <c r="H61" s="129"/>
      <c r="I61" s="129"/>
      <c r="J61" s="129"/>
      <c r="K61" s="129"/>
      <c r="L61" s="129"/>
      <c r="M61" s="129"/>
      <c r="N61" s="130"/>
    </row>
    <row r="62" spans="2:14" s="18" customFormat="1" x14ac:dyDescent="0.3">
      <c r="B62" s="60" t="s">
        <v>97</v>
      </c>
      <c r="C62" s="71"/>
      <c r="D62" s="72"/>
      <c r="E62" s="73"/>
      <c r="F62" s="73"/>
      <c r="H62" s="136"/>
      <c r="I62" s="136"/>
      <c r="J62" s="136"/>
      <c r="K62" s="136"/>
      <c r="L62" s="129"/>
      <c r="M62" s="129"/>
      <c r="N62" s="130"/>
    </row>
    <row r="63" spans="2:14" s="18" customFormat="1" ht="16.5" customHeight="1" x14ac:dyDescent="0.15">
      <c r="B63" s="33" t="s">
        <v>98</v>
      </c>
      <c r="C63" s="226" t="s">
        <v>99</v>
      </c>
      <c r="D63" s="226"/>
      <c r="E63" s="22" t="s">
        <v>100</v>
      </c>
      <c r="F63" s="22" t="s">
        <v>110</v>
      </c>
      <c r="H63" s="136"/>
      <c r="I63" s="136"/>
      <c r="J63" s="136"/>
      <c r="K63" s="136"/>
      <c r="L63" s="129"/>
      <c r="M63" s="129"/>
      <c r="N63" s="130"/>
    </row>
    <row r="64" spans="2:14" ht="16.5" customHeight="1" x14ac:dyDescent="0.3">
      <c r="B64" s="22" t="s">
        <v>31</v>
      </c>
      <c r="C64" s="236" t="s">
        <v>192</v>
      </c>
      <c r="D64" s="236"/>
      <c r="E64" s="93">
        <f>PERC_SUBSTITUTO_FERIAS</f>
        <v>8.3333333333333321</v>
      </c>
      <c r="F64" s="90">
        <f>PERC_SUBSTITUTO_FERIAS%*(MOD_1_REMUNERACAO_SERV+MOD_2_ENCARGOS_BENEFICIOS_SERV+MOD_3_PROVISAO_RESCISAO_SERV)</f>
        <v>192.31960487478756</v>
      </c>
      <c r="H64" s="136"/>
      <c r="I64" s="136"/>
      <c r="J64" s="136"/>
      <c r="K64" s="136"/>
      <c r="L64" s="129"/>
      <c r="M64" s="129"/>
    </row>
    <row r="65" spans="2:14" s="18" customFormat="1" ht="15.95" customHeight="1" x14ac:dyDescent="0.15">
      <c r="B65" s="22" t="s">
        <v>34</v>
      </c>
      <c r="C65" s="1" t="s">
        <v>194</v>
      </c>
      <c r="D65" s="1"/>
      <c r="E65" s="96">
        <f>PERC_SUBSTITUTO_AUSENCIAS_LEGAIS</f>
        <v>2.2222222222222223</v>
      </c>
      <c r="F65" s="91">
        <f>PERC_SUBSTITUTO_AUSENCIAS_LEGAIS%*(MOD_1_REMUNERACAO_SERV+MOD_2_ENCARGOS_BENEFICIOS_SERV+MOD_3_PROVISAO_RESCISAO_SERV)</f>
        <v>51.28522796661003</v>
      </c>
      <c r="H65" s="136"/>
      <c r="I65" s="136"/>
      <c r="J65" s="136"/>
      <c r="K65" s="136"/>
      <c r="L65" s="129"/>
      <c r="M65" s="129"/>
      <c r="N65" s="130"/>
    </row>
    <row r="66" spans="2:14" s="18" customFormat="1" ht="15.95" customHeight="1" x14ac:dyDescent="0.15">
      <c r="B66" s="22" t="s">
        <v>38</v>
      </c>
      <c r="C66" s="236" t="s">
        <v>196</v>
      </c>
      <c r="D66" s="236"/>
      <c r="E66" s="93">
        <f>PERC_SUBSTITUTO_LICENCA_PATERNIDADE</f>
        <v>3.5673555555555549E-2</v>
      </c>
      <c r="F66" s="90">
        <f>PERC_SUBSTITUTO_LICENCA_PATERNIDADE%*(MOD_1_REMUNERACAO_SERV+MOD_2_ENCARGOS_BENEFICIOS_SERV+MOD_3_PROVISAO_RESCISAO_SERV)</f>
        <v>0.8232868930707874</v>
      </c>
      <c r="H66" s="136"/>
      <c r="I66" s="136"/>
      <c r="J66" s="136"/>
      <c r="K66" s="136"/>
      <c r="L66" s="129"/>
      <c r="M66" s="129"/>
      <c r="N66" s="136"/>
    </row>
    <row r="67" spans="2:14" s="18" customFormat="1" ht="16.5" customHeight="1" x14ac:dyDescent="0.15">
      <c r="B67" s="22" t="s">
        <v>42</v>
      </c>
      <c r="C67" s="1" t="s">
        <v>198</v>
      </c>
      <c r="D67" s="1"/>
      <c r="E67" s="96">
        <f>PERC_SUBSTITUTO_ACID_TRAB</f>
        <v>1.85302229372558E-2</v>
      </c>
      <c r="F67" s="91">
        <f>PERC_SUBSTITUTO_ACID_TRAB%*(MOD_1_REMUNERACAO_SERV+MOD_2_ENCARGOS_BENEFICIOS_SERV+MOD_3_PROVISAO_RESCISAO_SERV)</f>
        <v>0.42764701842417141</v>
      </c>
      <c r="H67" s="136"/>
      <c r="I67" s="136"/>
      <c r="J67" s="136"/>
      <c r="K67" s="136"/>
      <c r="L67" s="129"/>
      <c r="M67" s="129"/>
      <c r="N67" s="136"/>
    </row>
    <row r="68" spans="2:14" s="18" customFormat="1" ht="15.95" customHeight="1" x14ac:dyDescent="0.15">
      <c r="B68" s="22" t="s">
        <v>45</v>
      </c>
      <c r="C68" s="236" t="s">
        <v>200</v>
      </c>
      <c r="D68" s="236"/>
      <c r="E68" s="93">
        <f>PERC_SUBSTITUTO_AFAST_MATERN</f>
        <v>0.14312918399999999</v>
      </c>
      <c r="F68" s="90">
        <f>PERC_SUBSTITUTO_AFAST_MATERN%*(MOD_1_REMUNERACAO_SERV+MOD_2_ENCARGOS_BENEFICIOS_SERV+MOD_3_PROVISAO_RESCISAO_SERV)</f>
        <v>3.303185773551693</v>
      </c>
      <c r="H68" s="136"/>
      <c r="I68" s="136"/>
      <c r="J68" s="136"/>
      <c r="K68" s="136"/>
      <c r="L68" s="129"/>
      <c r="M68" s="129"/>
      <c r="N68" s="136"/>
    </row>
    <row r="69" spans="2:14" s="18" customFormat="1" ht="15.95" customHeight="1" x14ac:dyDescent="0.15">
      <c r="B69" s="22" t="s">
        <v>94</v>
      </c>
      <c r="C69" s="252" t="str">
        <f>OUTRAS_AUSENCIAS_DESCRICAO</f>
        <v>Outras Ausências (Especificar em %)</v>
      </c>
      <c r="D69" s="252"/>
      <c r="E69" s="115">
        <f>PERC_SUBSTITUTO_OUTRAS_AUSENCIAS</f>
        <v>0</v>
      </c>
      <c r="F69" s="91">
        <f>PERC_SUBSTITUTO_OUTRAS_AUSENCIAS%*(MOD_1_REMUNERACAO_SERV+MOD_2_ENCARGOS_BENEFICIOS_SERV+MOD_3_PROVISAO_RESCISAO_SERV)</f>
        <v>0</v>
      </c>
      <c r="H69" s="136"/>
      <c r="I69" s="136"/>
      <c r="J69" s="136"/>
      <c r="K69" s="136"/>
      <c r="L69" s="129"/>
      <c r="M69" s="129"/>
      <c r="N69" s="136"/>
    </row>
    <row r="70" spans="2:14" s="18" customFormat="1" ht="15.95" customHeight="1" x14ac:dyDescent="0.3">
      <c r="B70" s="230" t="s">
        <v>15</v>
      </c>
      <c r="C70" s="230"/>
      <c r="D70" s="230"/>
      <c r="E70" s="230"/>
      <c r="F70" s="113">
        <f>SUM(F64:F69)</f>
        <v>248.15895252644424</v>
      </c>
      <c r="H70" s="136"/>
      <c r="I70" s="136"/>
      <c r="J70" s="136"/>
      <c r="K70" s="136"/>
      <c r="L70" s="129"/>
      <c r="M70" s="129"/>
      <c r="N70" s="136"/>
    </row>
    <row r="71" spans="2:14" s="18" customFormat="1" x14ac:dyDescent="0.3">
      <c r="B71" s="60" t="s">
        <v>102</v>
      </c>
      <c r="C71" s="71"/>
      <c r="D71" s="72"/>
      <c r="E71" s="73"/>
      <c r="F71" s="73"/>
      <c r="H71" s="136"/>
      <c r="I71" s="136"/>
      <c r="J71" s="136"/>
      <c r="K71" s="136"/>
      <c r="L71" s="129"/>
      <c r="M71" s="129"/>
      <c r="N71" s="136"/>
    </row>
    <row r="72" spans="2:14" s="18" customFormat="1" x14ac:dyDescent="0.15">
      <c r="B72" s="33" t="s">
        <v>103</v>
      </c>
      <c r="C72" s="230" t="s">
        <v>104</v>
      </c>
      <c r="D72" s="230"/>
      <c r="E72" s="230"/>
      <c r="F72" s="22" t="s">
        <v>110</v>
      </c>
      <c r="H72" s="136"/>
      <c r="I72" s="136"/>
      <c r="J72" s="136"/>
      <c r="K72" s="136"/>
      <c r="L72" s="129"/>
      <c r="M72" s="129"/>
      <c r="N72" s="136"/>
    </row>
    <row r="73" spans="2:14" s="18" customFormat="1" ht="16.5" customHeight="1" x14ac:dyDescent="0.15">
      <c r="B73" s="33" t="s">
        <v>31</v>
      </c>
      <c r="C73" s="236" t="s">
        <v>211</v>
      </c>
      <c r="D73" s="236"/>
      <c r="E73" s="236"/>
      <c r="F73" s="110">
        <f>IF(DIAS_TRABALHADOS_NO_MES=15,((MOD_1_REMUNERACAO_SERV+MOD_2_ENCARGOS_BENEFICIOS_SERV+MOD_3_PROVISAO_RESCISAO_SERV)/DIVISOR_DE_HORAS)*((TEMPO_INTERVALO_REFEICAO/HORA_NORMAL)+PERC_HORA_EXTRA%)*DIAS_TRABALHADOS_NO_MES,0)</f>
        <v>0</v>
      </c>
      <c r="H73" s="136"/>
      <c r="I73" s="136"/>
      <c r="J73" s="136"/>
      <c r="K73" s="136"/>
      <c r="L73" s="129"/>
      <c r="M73" s="129"/>
      <c r="N73" s="136"/>
    </row>
    <row r="74" spans="2:14" s="18" customFormat="1" x14ac:dyDescent="0.3">
      <c r="B74" s="230" t="s">
        <v>15</v>
      </c>
      <c r="C74" s="230"/>
      <c r="D74" s="230"/>
      <c r="E74" s="230"/>
      <c r="F74" s="113">
        <f>SUM(F73)</f>
        <v>0</v>
      </c>
      <c r="H74" s="136"/>
      <c r="I74" s="136"/>
      <c r="J74" s="136"/>
      <c r="K74" s="136"/>
      <c r="L74" s="129"/>
      <c r="M74" s="129"/>
      <c r="N74" s="136"/>
    </row>
    <row r="75" spans="2:14" s="18" customFormat="1" x14ac:dyDescent="0.3">
      <c r="B75" s="60" t="s">
        <v>108</v>
      </c>
      <c r="C75" s="71"/>
      <c r="D75" s="71"/>
      <c r="E75" s="73"/>
      <c r="F75" s="73"/>
      <c r="H75" s="136"/>
      <c r="I75" s="136"/>
      <c r="J75" s="136"/>
      <c r="K75" s="136"/>
      <c r="L75" s="129"/>
      <c r="M75" s="129"/>
      <c r="N75" s="136"/>
    </row>
    <row r="76" spans="2:14" s="18" customFormat="1" ht="16.5" customHeight="1" x14ac:dyDescent="0.15">
      <c r="B76" s="74">
        <v>5</v>
      </c>
      <c r="C76" s="232" t="s">
        <v>109</v>
      </c>
      <c r="D76" s="232"/>
      <c r="E76" s="232"/>
      <c r="F76" s="75" t="s">
        <v>110</v>
      </c>
      <c r="H76" s="129"/>
      <c r="I76" s="129"/>
      <c r="J76" s="129"/>
      <c r="K76" s="129"/>
      <c r="L76" s="129"/>
      <c r="M76" s="129"/>
      <c r="N76" s="136"/>
    </row>
    <row r="77" spans="2:14" s="18" customFormat="1" ht="16.5" customHeight="1" x14ac:dyDescent="0.3">
      <c r="B77" s="76" t="s">
        <v>31</v>
      </c>
      <c r="C77" s="233" t="s">
        <v>111</v>
      </c>
      <c r="D77" s="233"/>
      <c r="E77" s="233"/>
      <c r="F77" s="116">
        <f>UNIFORMES</f>
        <v>34.338000000000001</v>
      </c>
      <c r="H77" s="129"/>
      <c r="I77" s="129"/>
      <c r="J77" s="129"/>
      <c r="K77" s="129"/>
      <c r="L77" s="129"/>
      <c r="M77" s="129"/>
      <c r="N77" s="136"/>
    </row>
    <row r="78" spans="2:14" ht="16.5" customHeight="1" x14ac:dyDescent="0.3">
      <c r="B78" s="76" t="s">
        <v>34</v>
      </c>
      <c r="C78" s="234" t="s">
        <v>112</v>
      </c>
      <c r="D78" s="234"/>
      <c r="E78" s="234"/>
      <c r="F78" s="117">
        <f>MATERIAIS</f>
        <v>1232.47</v>
      </c>
      <c r="L78" s="129"/>
      <c r="M78" s="129"/>
      <c r="N78" s="136"/>
    </row>
    <row r="79" spans="2:14" ht="16.5" customHeight="1" x14ac:dyDescent="0.3">
      <c r="B79" s="76" t="s">
        <v>38</v>
      </c>
      <c r="C79" s="233" t="s">
        <v>113</v>
      </c>
      <c r="D79" s="233"/>
      <c r="E79" s="233"/>
      <c r="F79" s="116">
        <f>EQUIPAMENTOS</f>
        <v>7.91</v>
      </c>
      <c r="L79" s="129"/>
      <c r="M79" s="129"/>
      <c r="N79" s="136"/>
    </row>
    <row r="80" spans="2:14" ht="15.75" customHeight="1" x14ac:dyDescent="0.3">
      <c r="B80" s="76" t="s">
        <v>42</v>
      </c>
      <c r="C80" s="253" t="str">
        <f>OUTROS_INSUMOS_DESCRICAO</f>
        <v>Outros Insumos (Especificar)</v>
      </c>
      <c r="D80" s="253"/>
      <c r="E80" s="253"/>
      <c r="F80" s="117">
        <f>OUTROS_INSUMOS</f>
        <v>0</v>
      </c>
      <c r="L80" s="129"/>
      <c r="M80" s="129"/>
      <c r="N80" s="129"/>
    </row>
    <row r="81" spans="2:14" ht="16.5" customHeight="1" x14ac:dyDescent="0.3">
      <c r="B81" s="232" t="s">
        <v>15</v>
      </c>
      <c r="C81" s="232"/>
      <c r="D81" s="232"/>
      <c r="E81" s="232"/>
      <c r="F81" s="118">
        <f>SUM(F77:F80)</f>
        <v>1274.7180000000001</v>
      </c>
      <c r="L81" s="129"/>
      <c r="M81" s="129"/>
    </row>
    <row r="82" spans="2:14" ht="16.5" customHeight="1" x14ac:dyDescent="0.3">
      <c r="B82" s="235" t="s">
        <v>115</v>
      </c>
      <c r="C82" s="235"/>
      <c r="D82" s="235"/>
      <c r="E82" s="235"/>
      <c r="F82" s="235"/>
      <c r="L82" s="129"/>
      <c r="M82" s="129"/>
    </row>
    <row r="83" spans="2:14" x14ac:dyDescent="0.3">
      <c r="B83" s="33">
        <v>6</v>
      </c>
      <c r="C83" s="230" t="s">
        <v>116</v>
      </c>
      <c r="D83" s="230"/>
      <c r="E83" s="22" t="s">
        <v>100</v>
      </c>
      <c r="F83" s="22" t="s">
        <v>110</v>
      </c>
      <c r="L83" s="129"/>
      <c r="M83" s="129"/>
    </row>
    <row r="84" spans="2:14" ht="16.5" customHeight="1" x14ac:dyDescent="0.3">
      <c r="B84" s="33" t="s">
        <v>31</v>
      </c>
      <c r="C84" s="236" t="s">
        <v>117</v>
      </c>
      <c r="D84" s="236"/>
      <c r="E84" s="119">
        <f>PERC_CUSTOS_INDIRETOS</f>
        <v>4.7300000000000004</v>
      </c>
      <c r="F84" s="90">
        <f>PERC_CUSTOS_INDIRETOS%*(MOD_1_REMUNERACAO_SERV+MOD_2_ENCARGOS_BENEFICIOS_SERV+MOD_3_PROVISAO_RESCISAO_SERV+MOD_4_CUSTO_REPOSICAO_SERV+MOD_5_INSUMOS_SERV)</f>
        <v>181.19268758143031</v>
      </c>
      <c r="L84" s="129"/>
      <c r="M84" s="129"/>
    </row>
    <row r="85" spans="2:14" ht="16.5" customHeight="1" x14ac:dyDescent="0.3">
      <c r="B85" s="22" t="s">
        <v>34</v>
      </c>
      <c r="C85" s="1" t="s">
        <v>118</v>
      </c>
      <c r="D85" s="1"/>
      <c r="E85" s="120">
        <f>PERC_LUCRO</f>
        <v>5.57</v>
      </c>
      <c r="F85" s="91">
        <f>PERC_LUCRO%*(MOD_1_REMUNERACAO_SERV+MOD_2_ENCARGOS_BENEFICIOS_SERV+MOD_3_PROVISAO_RESCISAO_SERV+MOD_4_CUSTO_REPOSICAO_SERV+MOD_5_INSUMOS_SERV+AL_6_A_CUSTOS_INDIRETOS_SERV)</f>
        <v>223.46310285231667</v>
      </c>
      <c r="L85" s="129"/>
      <c r="M85" s="129"/>
    </row>
    <row r="86" spans="2:14" ht="15" customHeight="1" x14ac:dyDescent="0.3">
      <c r="B86" s="22" t="s">
        <v>38</v>
      </c>
      <c r="C86" s="236" t="s">
        <v>212</v>
      </c>
      <c r="D86" s="236"/>
      <c r="E86" s="119">
        <f>SUM(E87:E89)</f>
        <v>8.65</v>
      </c>
      <c r="F86" s="90">
        <f>SUM(F87:F89)</f>
        <v>401.0501720044731</v>
      </c>
      <c r="L86" s="129"/>
      <c r="M86" s="129"/>
    </row>
    <row r="87" spans="2:14" ht="16.5" customHeight="1" x14ac:dyDescent="0.3">
      <c r="B87" s="82" t="s">
        <v>119</v>
      </c>
      <c r="C87" s="254" t="s">
        <v>120</v>
      </c>
      <c r="D87" s="254"/>
      <c r="E87" s="121">
        <f>PERC_PIS</f>
        <v>0.65</v>
      </c>
      <c r="F87" s="122">
        <f>((MOD_1_REMUNERACAO_SERV+MOD_2_ENCARGOS_BENEFICIOS_SERV+MOD_3_PROVISAO_RESCISAO_SERV+MOD_4_CUSTO_REPOSICAO_SERV+MOD_5_INSUMOS_SERV+AL_6_A_CUSTOS_INDIRETOS_SERV+AL_6_B_LUCRO_SERV)*PERC_PIS%)/(1-PERC_TRIBUTOS%)</f>
        <v>30.136718127503759</v>
      </c>
      <c r="L87" s="129"/>
      <c r="M87" s="129"/>
    </row>
    <row r="88" spans="2:14" ht="16.5" customHeight="1" x14ac:dyDescent="0.3">
      <c r="B88" s="82" t="s">
        <v>121</v>
      </c>
      <c r="C88" s="255" t="s">
        <v>122</v>
      </c>
      <c r="D88" s="255"/>
      <c r="E88" s="123">
        <f>PERC_COFINS</f>
        <v>3</v>
      </c>
      <c r="F88" s="124">
        <f>((MOD_1_REMUNERACAO_SERV+MOD_2_ENCARGOS_BENEFICIOS_SERV+MOD_3_PROVISAO_RESCISAO_SERV+MOD_4_CUSTO_REPOSICAO_SERV+MOD_5_INSUMOS_SERV+AL_6_A_CUSTOS_INDIRETOS_SERV+AL_6_B_LUCRO_SERV)*PERC_COFINS%)/(1-PERC_TRIBUTOS%)</f>
        <v>139.09254520386349</v>
      </c>
      <c r="L88" s="129"/>
      <c r="M88" s="129"/>
    </row>
    <row r="89" spans="2:14" ht="15.75" customHeight="1" x14ac:dyDescent="0.3">
      <c r="B89" s="82" t="s">
        <v>123</v>
      </c>
      <c r="C89" s="254" t="s">
        <v>124</v>
      </c>
      <c r="D89" s="254"/>
      <c r="E89" s="121">
        <f>PERC_ISS</f>
        <v>5</v>
      </c>
      <c r="F89" s="122">
        <f>((MOD_1_REMUNERACAO_SERV+MOD_2_ENCARGOS_BENEFICIOS_SERV+MOD_3_PROVISAO_RESCISAO_SERV+MOD_4_CUSTO_REPOSICAO_SERV+MOD_5_INSUMOS_SERV+AL_6_A_CUSTOS_INDIRETOS_SERV+AL_6_B_LUCRO_SERV)*PERC_ISS%)/(1-PERC_TRIBUTOS%)</f>
        <v>231.82090867310583</v>
      </c>
      <c r="L89" s="129"/>
      <c r="M89" s="129"/>
    </row>
    <row r="90" spans="2:14" x14ac:dyDescent="0.3">
      <c r="B90" s="230" t="s">
        <v>15</v>
      </c>
      <c r="C90" s="230"/>
      <c r="D90" s="230"/>
      <c r="E90" s="230"/>
      <c r="F90" s="125">
        <f>AL_6_A_CUSTOS_INDIRETOS_SERV+AL_6_B_LUCRO_SERV+AL_6_C_TRIBUTOS_SERV</f>
        <v>805.70596243822001</v>
      </c>
      <c r="L90" s="129"/>
      <c r="M90" s="129"/>
    </row>
    <row r="91" spans="2:14" ht="15.75" customHeight="1" x14ac:dyDescent="0.3">
      <c r="B91" s="126" t="s">
        <v>213</v>
      </c>
      <c r="C91" s="127"/>
      <c r="D91" s="127"/>
      <c r="E91" s="127"/>
      <c r="F91" s="128"/>
      <c r="L91" s="129"/>
      <c r="M91" s="129"/>
    </row>
    <row r="92" spans="2:14" ht="16.5" customHeight="1" x14ac:dyDescent="0.3">
      <c r="B92" s="22" t="s">
        <v>214</v>
      </c>
      <c r="C92" s="226" t="s">
        <v>215</v>
      </c>
      <c r="D92" s="226"/>
      <c r="E92" s="226"/>
      <c r="F92" s="22" t="s">
        <v>216</v>
      </c>
      <c r="L92" s="129"/>
      <c r="M92" s="129"/>
    </row>
    <row r="93" spans="2:14" s="78" customFormat="1" ht="16.5" customHeight="1" x14ac:dyDescent="0.3">
      <c r="B93" s="33">
        <v>1</v>
      </c>
      <c r="C93" s="236" t="s">
        <v>75</v>
      </c>
      <c r="D93" s="236"/>
      <c r="E93" s="236"/>
      <c r="F93" s="90">
        <f>MOD_1_REMUNERACAO_SERV</f>
        <v>1050.25</v>
      </c>
      <c r="H93" s="129"/>
      <c r="I93" s="129"/>
      <c r="J93" s="129"/>
      <c r="K93" s="129"/>
      <c r="L93" s="129"/>
      <c r="M93" s="129"/>
      <c r="N93" s="130"/>
    </row>
    <row r="94" spans="2:14" s="78" customFormat="1" ht="16.5" customHeight="1" x14ac:dyDescent="0.3">
      <c r="B94" s="22">
        <v>2</v>
      </c>
      <c r="C94" s="1" t="s">
        <v>217</v>
      </c>
      <c r="D94" s="1"/>
      <c r="E94" s="1"/>
      <c r="F94" s="91">
        <f>MOD_2_ENCARGOS_BENEFICIOS_SERV</f>
        <v>1223.6750000000002</v>
      </c>
      <c r="H94" s="129"/>
      <c r="I94" s="129"/>
      <c r="J94" s="129"/>
      <c r="K94" s="129"/>
      <c r="L94" s="129"/>
      <c r="M94" s="129"/>
      <c r="N94" s="130"/>
    </row>
    <row r="95" spans="2:14" s="78" customFormat="1" ht="16.5" customHeight="1" x14ac:dyDescent="0.3">
      <c r="B95" s="22">
        <v>3</v>
      </c>
      <c r="C95" s="236" t="s">
        <v>142</v>
      </c>
      <c r="D95" s="236"/>
      <c r="E95" s="236"/>
      <c r="F95" s="90">
        <f>MOD_3_PROVISAO_RESCISAO_SERV</f>
        <v>33.910258497451238</v>
      </c>
      <c r="H95" s="129"/>
      <c r="I95" s="129"/>
      <c r="J95" s="129"/>
      <c r="K95" s="129"/>
      <c r="L95" s="129"/>
      <c r="M95" s="129"/>
      <c r="N95" s="130"/>
    </row>
    <row r="96" spans="2:14" s="79" customFormat="1" ht="16.5" customHeight="1" x14ac:dyDescent="0.3">
      <c r="B96" s="22">
        <v>4</v>
      </c>
      <c r="C96" s="1" t="s">
        <v>218</v>
      </c>
      <c r="D96" s="1"/>
      <c r="E96" s="1"/>
      <c r="F96" s="91">
        <f>MOD_4_CUSTO_REPOSICAO_SERV</f>
        <v>248.15895252644424</v>
      </c>
      <c r="H96" s="129"/>
      <c r="I96" s="129"/>
      <c r="J96" s="129"/>
      <c r="K96" s="129"/>
      <c r="L96" s="129"/>
      <c r="M96" s="129"/>
      <c r="N96" s="130"/>
    </row>
    <row r="97" spans="2:14" s="78" customFormat="1" ht="16.5" customHeight="1" x14ac:dyDescent="0.3">
      <c r="B97" s="22">
        <v>5</v>
      </c>
      <c r="C97" s="236" t="s">
        <v>109</v>
      </c>
      <c r="D97" s="236"/>
      <c r="E97" s="236"/>
      <c r="F97" s="90">
        <f>MOD_5_INSUMOS_SERV</f>
        <v>1274.7180000000001</v>
      </c>
      <c r="H97" s="129"/>
      <c r="I97" s="129"/>
      <c r="J97" s="129"/>
      <c r="K97" s="129"/>
      <c r="L97" s="129"/>
      <c r="M97" s="129"/>
      <c r="N97" s="130"/>
    </row>
    <row r="98" spans="2:14" s="80" customFormat="1" ht="16.5" customHeight="1" x14ac:dyDescent="0.3">
      <c r="B98" s="22">
        <v>6</v>
      </c>
      <c r="C98" s="1" t="s">
        <v>116</v>
      </c>
      <c r="D98" s="1"/>
      <c r="E98" s="1"/>
      <c r="F98" s="91">
        <f>MOD_6_CUSTOS_IND_LUCRO_TRIB_SERV</f>
        <v>805.70596243822001</v>
      </c>
      <c r="H98" s="129"/>
      <c r="I98" s="129"/>
      <c r="J98" s="129"/>
      <c r="K98" s="129"/>
      <c r="L98" s="129"/>
      <c r="M98" s="129"/>
      <c r="N98" s="130"/>
    </row>
    <row r="99" spans="2:14" s="80" customFormat="1" ht="16.5" customHeight="1" x14ac:dyDescent="0.3">
      <c r="B99" s="226" t="s">
        <v>222</v>
      </c>
      <c r="C99" s="226"/>
      <c r="D99" s="226"/>
      <c r="E99" s="226"/>
      <c r="F99" s="125">
        <f>SUM(F93:F98)</f>
        <v>4636.4181734621161</v>
      </c>
      <c r="H99" s="129"/>
      <c r="I99" s="129"/>
      <c r="J99" s="129"/>
      <c r="K99" s="129"/>
      <c r="L99" s="129"/>
      <c r="M99" s="129"/>
      <c r="N99" s="130"/>
    </row>
  </sheetData>
  <sheetProtection sheet="1" objects="1" scenarios="1"/>
  <mergeCells count="91">
    <mergeCell ref="C95:E95"/>
    <mergeCell ref="C96:E96"/>
    <mergeCell ref="C97:E97"/>
    <mergeCell ref="C98:E98"/>
    <mergeCell ref="B99:E99"/>
    <mergeCell ref="C89:D89"/>
    <mergeCell ref="B90:E90"/>
    <mergeCell ref="C92:E92"/>
    <mergeCell ref="C93:E93"/>
    <mergeCell ref="C94:E94"/>
    <mergeCell ref="C84:D84"/>
    <mergeCell ref="C85:D85"/>
    <mergeCell ref="C86:D86"/>
    <mergeCell ref="C87:D87"/>
    <mergeCell ref="C88:D88"/>
    <mergeCell ref="C79:E79"/>
    <mergeCell ref="C80:E80"/>
    <mergeCell ref="B81:E81"/>
    <mergeCell ref="B82:F82"/>
    <mergeCell ref="C83:D83"/>
    <mergeCell ref="C73:E73"/>
    <mergeCell ref="B74:E74"/>
    <mergeCell ref="C76:E76"/>
    <mergeCell ref="C77:E77"/>
    <mergeCell ref="C78:E78"/>
    <mergeCell ref="C67:D67"/>
    <mergeCell ref="C68:D68"/>
    <mergeCell ref="C69:D69"/>
    <mergeCell ref="B70:E70"/>
    <mergeCell ref="C72:E72"/>
    <mergeCell ref="B60:E60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49:E49"/>
    <mergeCell ref="C50:E50"/>
    <mergeCell ref="B51:E51"/>
    <mergeCell ref="C53:D53"/>
    <mergeCell ref="C54:D54"/>
    <mergeCell ref="B43:E43"/>
    <mergeCell ref="C45:E45"/>
    <mergeCell ref="C46:E46"/>
    <mergeCell ref="C47:E47"/>
    <mergeCell ref="C48:E48"/>
    <mergeCell ref="C38:D38"/>
    <mergeCell ref="C39:D39"/>
    <mergeCell ref="C40:D40"/>
    <mergeCell ref="C41:D41"/>
    <mergeCell ref="C42:D42"/>
    <mergeCell ref="B33:F33"/>
    <mergeCell ref="C34:D34"/>
    <mergeCell ref="C35:D35"/>
    <mergeCell ref="C36:D36"/>
    <mergeCell ref="C37:D37"/>
    <mergeCell ref="B26:E26"/>
    <mergeCell ref="C29:D29"/>
    <mergeCell ref="C30:D30"/>
    <mergeCell ref="C31:D31"/>
    <mergeCell ref="B32:E32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C20:E20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scale="95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9"/>
  <sheetViews>
    <sheetView zoomScale="90" zoomScaleNormal="9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customHeight="1" x14ac:dyDescent="0.35">
      <c r="B1" s="243" t="str">
        <f>RAMO</f>
        <v>RAMO: MINISTÉRIO PÚBLICO FEDERAL</v>
      </c>
      <c r="C1" s="243"/>
      <c r="D1" s="243"/>
      <c r="E1" s="243"/>
      <c r="F1" s="243"/>
    </row>
    <row r="2" spans="2:6" ht="20.25" customHeight="1" x14ac:dyDescent="0.35">
      <c r="B2" s="244" t="str">
        <f>UG</f>
        <v>UNIDADE GESTORA (SIGLA): PR/AP</v>
      </c>
      <c r="C2" s="244"/>
      <c r="D2" s="244"/>
      <c r="E2" s="99" t="s">
        <v>3</v>
      </c>
      <c r="F2" s="100">
        <f>IF(DATA_DO_ORCAMENTO_ESTIMATIVO="","",DATA_DO_ORCAMENTO_ESTIMATIVO)</f>
        <v>43921</v>
      </c>
    </row>
    <row r="3" spans="2:6" s="18" customFormat="1" ht="25.5" customHeight="1" x14ac:dyDescent="0.5">
      <c r="B3" s="12" t="s">
        <v>223</v>
      </c>
      <c r="C3" s="12"/>
      <c r="D3" s="12"/>
      <c r="E3" s="12"/>
      <c r="F3" s="12"/>
    </row>
    <row r="4" spans="2:6" s="18" customFormat="1" ht="15.95" customHeight="1" x14ac:dyDescent="0.3">
      <c r="B4" s="10" t="s">
        <v>7</v>
      </c>
      <c r="C4" s="10"/>
      <c r="D4" s="10"/>
      <c r="E4" s="10"/>
      <c r="F4" s="10"/>
    </row>
    <row r="5" spans="2:6" s="18" customFormat="1" ht="15.95" customHeight="1" x14ac:dyDescent="0.3">
      <c r="B5" s="8" t="s">
        <v>203</v>
      </c>
      <c r="C5" s="8"/>
      <c r="D5" s="224" t="str">
        <f>NUMERO_PROCESSO</f>
        <v>1.12.000.001095/2019-21</v>
      </c>
      <c r="E5" s="224"/>
      <c r="F5" s="224"/>
    </row>
    <row r="6" spans="2:6" s="18" customFormat="1" ht="15.75" customHeight="1" x14ac:dyDescent="0.3">
      <c r="B6" s="5" t="s">
        <v>204</v>
      </c>
      <c r="C6" s="5"/>
      <c r="D6" s="245" t="str">
        <f>MODALIDADE_DE_LICITACAO</f>
        <v>Pregão nº</v>
      </c>
      <c r="E6" s="245"/>
      <c r="F6" s="101" t="str">
        <f>NUMERO_PREGAO</f>
        <v>XX/2020</v>
      </c>
    </row>
    <row r="7" spans="2:6" s="24" customFormat="1" ht="15.75" customHeight="1" x14ac:dyDescent="0.3">
      <c r="B7" s="246" t="s">
        <v>205</v>
      </c>
      <c r="C7" s="246"/>
      <c r="D7" s="246"/>
      <c r="E7" s="246"/>
      <c r="F7" s="246"/>
    </row>
    <row r="8" spans="2:6" s="18" customFormat="1" ht="18" customHeight="1" x14ac:dyDescent="0.3">
      <c r="B8" s="34" t="s">
        <v>31</v>
      </c>
      <c r="C8" s="8" t="s">
        <v>32</v>
      </c>
      <c r="D8" s="8"/>
      <c r="E8" s="8"/>
      <c r="F8" s="102" t="str">
        <f>DATA_APRESENTACAO_PROPOSTA</f>
        <v>XX/XX/20XX</v>
      </c>
    </row>
    <row r="9" spans="2:6" s="18" customFormat="1" ht="15.95" customHeight="1" x14ac:dyDescent="0.15">
      <c r="B9" s="33" t="s">
        <v>34</v>
      </c>
      <c r="C9" s="37" t="s">
        <v>35</v>
      </c>
      <c r="D9" s="238" t="str">
        <f>IF(LOCAL_DE_EXECUCAO="","",LOCAL_DE_EXECUCAO)</f>
        <v>Sede e Anexo</v>
      </c>
      <c r="E9" s="238"/>
      <c r="F9" s="238"/>
    </row>
    <row r="10" spans="2:6" s="18" customFormat="1" ht="18.75" customHeight="1" x14ac:dyDescent="0.3">
      <c r="B10" s="34" t="s">
        <v>38</v>
      </c>
      <c r="C10" s="8" t="s">
        <v>43</v>
      </c>
      <c r="D10" s="8"/>
      <c r="E10" s="8"/>
      <c r="F10" s="103" t="str">
        <f>ACORDO_COLETIVO</f>
        <v>XX/2019</v>
      </c>
    </row>
    <row r="11" spans="2:6" s="18" customFormat="1" ht="15.95" customHeight="1" x14ac:dyDescent="0.3">
      <c r="B11" s="33" t="s">
        <v>42</v>
      </c>
      <c r="C11" s="238" t="s">
        <v>46</v>
      </c>
      <c r="D11" s="238"/>
      <c r="E11" s="238"/>
      <c r="F11" s="68">
        <f>NUMERO_MESES_EXEC_CONTRATUAL</f>
        <v>12</v>
      </c>
    </row>
    <row r="12" spans="2:6" s="18" customFormat="1" x14ac:dyDescent="0.3">
      <c r="B12" s="33" t="s">
        <v>45</v>
      </c>
      <c r="C12" s="247" t="s">
        <v>224</v>
      </c>
      <c r="D12" s="247"/>
      <c r="E12" s="247"/>
      <c r="F12" s="39" t="str">
        <f>IF(QTDE_DE_SERV_HOSP=0,"",QTDE_DE_SERV_HOSP)</f>
        <v/>
      </c>
    </row>
    <row r="13" spans="2:6" s="104" customFormat="1" ht="15" customHeight="1" x14ac:dyDescent="0.2">
      <c r="B13" s="105" t="s">
        <v>73</v>
      </c>
      <c r="C13" s="106"/>
      <c r="D13" s="106"/>
      <c r="E13" s="106"/>
      <c r="F13" s="106"/>
    </row>
    <row r="14" spans="2:6" s="18" customFormat="1" x14ac:dyDescent="0.3">
      <c r="B14" s="34">
        <v>1</v>
      </c>
      <c r="C14" s="8" t="s">
        <v>67</v>
      </c>
      <c r="D14" s="8"/>
      <c r="E14" s="224" t="str">
        <f>TIPO_DE_SERVICO</f>
        <v>Limpeza e Conservação</v>
      </c>
      <c r="F14" s="224"/>
    </row>
    <row r="15" spans="2:6" s="24" customFormat="1" ht="16.5" customHeight="1" x14ac:dyDescent="0.3">
      <c r="B15" s="34">
        <v>2</v>
      </c>
      <c r="C15" s="54" t="s">
        <v>69</v>
      </c>
      <c r="D15" s="248" t="str">
        <f>CBO</f>
        <v>5143-20</v>
      </c>
      <c r="E15" s="248"/>
      <c r="F15" s="248"/>
    </row>
    <row r="16" spans="2:6" s="18" customFormat="1" ht="15" customHeight="1" x14ac:dyDescent="0.3">
      <c r="B16" s="34">
        <v>3</v>
      </c>
      <c r="C16" s="107" t="s">
        <v>207</v>
      </c>
      <c r="D16" s="224" t="str">
        <f>CATEGORIA_PROFISSIONAL_SERV_HOSP</f>
        <v>Servente - Área Médico Hospitalar</v>
      </c>
      <c r="E16" s="224"/>
      <c r="F16" s="224"/>
    </row>
    <row r="17" spans="2:6" s="18" customFormat="1" ht="15" customHeight="1" x14ac:dyDescent="0.3">
      <c r="B17" s="34">
        <v>4</v>
      </c>
      <c r="C17" s="5" t="s">
        <v>71</v>
      </c>
      <c r="D17" s="5"/>
      <c r="E17" s="5"/>
      <c r="F17" s="131">
        <f>DATA_BASE_CATEGORIA</f>
        <v>43466</v>
      </c>
    </row>
    <row r="18" spans="2:6" s="109" customFormat="1" ht="20.25" customHeight="1" x14ac:dyDescent="0.3">
      <c r="B18" s="250" t="s">
        <v>208</v>
      </c>
      <c r="C18" s="250"/>
      <c r="D18" s="250"/>
      <c r="E18" s="250"/>
      <c r="F18" s="250"/>
    </row>
    <row r="19" spans="2:6" x14ac:dyDescent="0.3">
      <c r="B19" s="60" t="s">
        <v>74</v>
      </c>
      <c r="E19" s="61"/>
      <c r="F19" s="61"/>
    </row>
    <row r="20" spans="2:6" ht="16.5" customHeight="1" x14ac:dyDescent="0.3">
      <c r="B20" s="33">
        <v>1</v>
      </c>
      <c r="C20" s="226" t="s">
        <v>75</v>
      </c>
      <c r="D20" s="226"/>
      <c r="E20" s="226"/>
      <c r="F20" s="22" t="s">
        <v>110</v>
      </c>
    </row>
    <row r="21" spans="2:6" ht="16.5" customHeight="1" x14ac:dyDescent="0.3">
      <c r="B21" s="33" t="s">
        <v>31</v>
      </c>
      <c r="C21" s="231" t="s">
        <v>209</v>
      </c>
      <c r="D21" s="231"/>
      <c r="E21" s="231"/>
      <c r="F21" s="110">
        <f>SALARIO_NORMATIVO_SERV_HOSP</f>
        <v>0</v>
      </c>
    </row>
    <row r="22" spans="2:6" ht="16.5" customHeight="1" x14ac:dyDescent="0.3">
      <c r="B22" s="33" t="s">
        <v>34</v>
      </c>
      <c r="C22" s="1" t="s">
        <v>210</v>
      </c>
      <c r="D22" s="1"/>
      <c r="E22" s="1"/>
      <c r="F22" s="111">
        <f>IF(ADIC_INSALUB_SERV_HOSP="SIM",PERC_ADIC_INSALUB%*SAL_MINIMO,0)</f>
        <v>0</v>
      </c>
    </row>
    <row r="23" spans="2:6" x14ac:dyDescent="0.3">
      <c r="B23" s="33" t="s">
        <v>38</v>
      </c>
      <c r="C23" s="231" t="str">
        <f>OUTROS_REMUNERACAO_1_DESCRICAO</f>
        <v>Outras Remunerações 1 (Especificar)</v>
      </c>
      <c r="D23" s="231"/>
      <c r="E23" s="231"/>
      <c r="F23" s="110">
        <f>OUTROS_REMUNERACAO_1</f>
        <v>0</v>
      </c>
    </row>
    <row r="24" spans="2:6" ht="15.75" customHeight="1" x14ac:dyDescent="0.3">
      <c r="B24" s="33" t="s">
        <v>42</v>
      </c>
      <c r="C24" s="227" t="str">
        <f>OUTROS_REMUNERACAO_2_DESCRICAO</f>
        <v>Outras Remunerações 2 (Especificar)</v>
      </c>
      <c r="D24" s="227"/>
      <c r="E24" s="227"/>
      <c r="F24" s="111">
        <f>OUTROS_REMUNERACAO_2</f>
        <v>0</v>
      </c>
    </row>
    <row r="25" spans="2:6" ht="15.75" customHeight="1" x14ac:dyDescent="0.3">
      <c r="B25" s="33" t="s">
        <v>45</v>
      </c>
      <c r="C25" s="231" t="str">
        <f>OUTROS_REMUNERACAO_3_DESCRICAO</f>
        <v>Outras Remunerações 3 (Especificar)</v>
      </c>
      <c r="D25" s="231"/>
      <c r="E25" s="231"/>
      <c r="F25" s="110">
        <f>OUTROS_REMUNERACAO_3</f>
        <v>0</v>
      </c>
    </row>
    <row r="26" spans="2:6" ht="15.75" customHeight="1" x14ac:dyDescent="0.3">
      <c r="B26" s="226" t="s">
        <v>15</v>
      </c>
      <c r="C26" s="226"/>
      <c r="D26" s="226"/>
      <c r="E26" s="226"/>
      <c r="F26" s="112">
        <f>SUM(F21:F25)</f>
        <v>0</v>
      </c>
    </row>
    <row r="27" spans="2:6" x14ac:dyDescent="0.3">
      <c r="B27" s="60" t="s">
        <v>81</v>
      </c>
      <c r="E27" s="65"/>
      <c r="F27" s="65"/>
    </row>
    <row r="28" spans="2:6" x14ac:dyDescent="0.3">
      <c r="B28" s="60" t="s">
        <v>161</v>
      </c>
      <c r="C28" s="71"/>
      <c r="D28" s="72"/>
      <c r="E28" s="73"/>
      <c r="F28" s="73"/>
    </row>
    <row r="29" spans="2:6" x14ac:dyDescent="0.3">
      <c r="B29" s="33" t="s">
        <v>162</v>
      </c>
      <c r="C29" s="230" t="s">
        <v>163</v>
      </c>
      <c r="D29" s="230"/>
      <c r="E29" s="22" t="s">
        <v>100</v>
      </c>
      <c r="F29" s="22" t="s">
        <v>110</v>
      </c>
    </row>
    <row r="30" spans="2:6" ht="16.5" customHeight="1" x14ac:dyDescent="0.3">
      <c r="B30" s="33" t="s">
        <v>31</v>
      </c>
      <c r="C30" s="236" t="s">
        <v>165</v>
      </c>
      <c r="D30" s="236"/>
      <c r="E30" s="93">
        <f>PERC_DEC_TERC</f>
        <v>8.3333333333333321</v>
      </c>
      <c r="F30" s="90">
        <f>PERC_DEC_TERC%*MOD_1_REMUNERACAO_SERV_HOSP</f>
        <v>0</v>
      </c>
    </row>
    <row r="31" spans="2:6" ht="16.5" customHeight="1" x14ac:dyDescent="0.3">
      <c r="B31" s="22" t="s">
        <v>34</v>
      </c>
      <c r="C31" s="1" t="s">
        <v>167</v>
      </c>
      <c r="D31" s="1"/>
      <c r="E31" s="95">
        <f>PERC_ADIC_FERIAS</f>
        <v>2.7777777777777777</v>
      </c>
      <c r="F31" s="91">
        <f>PERC_ADIC_FERIAS%*MOD_1_REMUNERACAO_SERV_HOSP</f>
        <v>0</v>
      </c>
    </row>
    <row r="32" spans="2:6" x14ac:dyDescent="0.3">
      <c r="B32" s="230" t="s">
        <v>15</v>
      </c>
      <c r="C32" s="230"/>
      <c r="D32" s="230"/>
      <c r="E32" s="230"/>
      <c r="F32" s="113">
        <f>SUM(F30:F31)</f>
        <v>0</v>
      </c>
    </row>
    <row r="33" spans="2:6" ht="16.5" customHeight="1" x14ac:dyDescent="0.3">
      <c r="B33" s="251" t="s">
        <v>169</v>
      </c>
      <c r="C33" s="251"/>
      <c r="D33" s="251"/>
      <c r="E33" s="251"/>
      <c r="F33" s="251"/>
    </row>
    <row r="34" spans="2:6" ht="16.5" customHeight="1" x14ac:dyDescent="0.3">
      <c r="B34" s="33" t="s">
        <v>170</v>
      </c>
      <c r="C34" s="240" t="s">
        <v>171</v>
      </c>
      <c r="D34" s="240"/>
      <c r="E34" s="22" t="s">
        <v>100</v>
      </c>
      <c r="F34" s="22" t="s">
        <v>110</v>
      </c>
    </row>
    <row r="35" spans="2:6" s="94" customFormat="1" ht="16.5" customHeight="1" x14ac:dyDescent="0.3">
      <c r="B35" s="33" t="s">
        <v>31</v>
      </c>
      <c r="C35" s="236" t="s">
        <v>172</v>
      </c>
      <c r="D35" s="236"/>
      <c r="E35" s="93">
        <f>PERC_INSS</f>
        <v>20</v>
      </c>
      <c r="F35" s="90">
        <f>PERC_INSS%*(MOD_1_REMUNERACAO_SERV_HOSP+SUBMOD_2_1_DEC_TERC_ADIC_FERIAS_SERV_HOSP)</f>
        <v>0</v>
      </c>
    </row>
    <row r="36" spans="2:6" s="64" customFormat="1" ht="16.5" customHeight="1" x14ac:dyDescent="0.3">
      <c r="B36" s="22" t="s">
        <v>34</v>
      </c>
      <c r="C36" s="1" t="s">
        <v>173</v>
      </c>
      <c r="D36" s="1"/>
      <c r="E36" s="96">
        <f>PERC_SAL_EDUCACAO</f>
        <v>2.5</v>
      </c>
      <c r="F36" s="91">
        <f>PERC_SAL_EDUCACAO%*(MOD_1_REMUNERACAO_SERV_HOSP+SUBMOD_2_1_DEC_TERC_ADIC_FERIAS_SERV_HOSP)</f>
        <v>0</v>
      </c>
    </row>
    <row r="37" spans="2:6" s="64" customFormat="1" ht="16.5" customHeight="1" x14ac:dyDescent="0.3">
      <c r="B37" s="22" t="s">
        <v>38</v>
      </c>
      <c r="C37" s="236" t="s">
        <v>174</v>
      </c>
      <c r="D37" s="236"/>
      <c r="E37" s="93">
        <f>PERC_RAT</f>
        <v>3</v>
      </c>
      <c r="F37" s="90">
        <f>PERC_RAT%*(MOD_1_REMUNERACAO_SERV_HOSP+SUBMOD_2_1_DEC_TERC_ADIC_FERIAS_SERV_HOSP)</f>
        <v>0</v>
      </c>
    </row>
    <row r="38" spans="2:6" s="64" customFormat="1" ht="16.5" customHeight="1" x14ac:dyDescent="0.3">
      <c r="B38" s="22" t="s">
        <v>42</v>
      </c>
      <c r="C38" s="1" t="s">
        <v>175</v>
      </c>
      <c r="D38" s="1"/>
      <c r="E38" s="95">
        <f>PERC_SESC</f>
        <v>1.5</v>
      </c>
      <c r="F38" s="91">
        <f>PERC_SESC%*(MOD_1_REMUNERACAO_SERV_HOSP+SUBMOD_2_1_DEC_TERC_ADIC_FERIAS_SERV_HOSP)</f>
        <v>0</v>
      </c>
    </row>
    <row r="39" spans="2:6" ht="16.5" customHeight="1" x14ac:dyDescent="0.3">
      <c r="B39" s="22" t="s">
        <v>45</v>
      </c>
      <c r="C39" s="236" t="s">
        <v>176</v>
      </c>
      <c r="D39" s="236"/>
      <c r="E39" s="93">
        <f>PERC_SENAC</f>
        <v>1</v>
      </c>
      <c r="F39" s="90">
        <f>PERC_SENAC%*(MOD_1_REMUNERACAO_SERV_HOSP+SUBMOD_2_1_DEC_TERC_ADIC_FERIAS_SERV_HOSP)</f>
        <v>0</v>
      </c>
    </row>
    <row r="40" spans="2:6" s="18" customFormat="1" ht="16.5" customHeight="1" x14ac:dyDescent="0.15">
      <c r="B40" s="22" t="s">
        <v>94</v>
      </c>
      <c r="C40" s="1" t="s">
        <v>177</v>
      </c>
      <c r="D40" s="1"/>
      <c r="E40" s="96">
        <f>PERC_SEBRAE</f>
        <v>0.6</v>
      </c>
      <c r="F40" s="91">
        <f>PERC_SEBRAE%*(MOD_1_REMUNERACAO_SERV_HOSP+SUBMOD_2_1_DEC_TERC_ADIC_FERIAS_SERV_HOSP)</f>
        <v>0</v>
      </c>
    </row>
    <row r="41" spans="2:6" s="18" customFormat="1" ht="16.5" customHeight="1" x14ac:dyDescent="0.15">
      <c r="B41" s="22" t="s">
        <v>135</v>
      </c>
      <c r="C41" s="236" t="s">
        <v>178</v>
      </c>
      <c r="D41" s="236"/>
      <c r="E41" s="93">
        <f>PERC_INCRA</f>
        <v>0.2</v>
      </c>
      <c r="F41" s="90">
        <f>PERC_INCRA%*(MOD_1_REMUNERACAO_SERV_HOSP+SUBMOD_2_1_DEC_TERC_ADIC_FERIAS_SERV_HOSP)</f>
        <v>0</v>
      </c>
    </row>
    <row r="42" spans="2:6" s="18" customFormat="1" ht="16.5" customHeight="1" x14ac:dyDescent="0.15">
      <c r="B42" s="22" t="s">
        <v>137</v>
      </c>
      <c r="C42" s="1" t="s">
        <v>179</v>
      </c>
      <c r="D42" s="1"/>
      <c r="E42" s="96">
        <f>PERC_FGTS</f>
        <v>8</v>
      </c>
      <c r="F42" s="91">
        <f>PERC_FGTS%*(MOD_1_REMUNERACAO_SERV_HOSP+SUBMOD_2_1_DEC_TERC_ADIC_FERIAS_SERV_HOSP)</f>
        <v>0</v>
      </c>
    </row>
    <row r="43" spans="2:6" s="18" customFormat="1" x14ac:dyDescent="0.15">
      <c r="B43" s="230" t="s">
        <v>15</v>
      </c>
      <c r="C43" s="230"/>
      <c r="D43" s="230"/>
      <c r="E43" s="230"/>
      <c r="F43" s="114">
        <f>SUM(F35:F42)</f>
        <v>0</v>
      </c>
    </row>
    <row r="44" spans="2:6" s="24" customFormat="1" x14ac:dyDescent="0.3">
      <c r="B44" s="60" t="s">
        <v>82</v>
      </c>
    </row>
    <row r="45" spans="2:6" s="24" customFormat="1" ht="16.5" customHeight="1" x14ac:dyDescent="0.15">
      <c r="B45" s="33" t="s">
        <v>83</v>
      </c>
      <c r="C45" s="226" t="s">
        <v>84</v>
      </c>
      <c r="D45" s="226"/>
      <c r="E45" s="226"/>
      <c r="F45" s="22" t="s">
        <v>110</v>
      </c>
    </row>
    <row r="46" spans="2:6" ht="16.5" customHeight="1" x14ac:dyDescent="0.3">
      <c r="B46" s="34" t="s">
        <v>31</v>
      </c>
      <c r="C46" s="236" t="s">
        <v>87</v>
      </c>
      <c r="D46" s="236"/>
      <c r="E46" s="236"/>
      <c r="F46" s="90">
        <f>IF(((TRANSPORTE_POR_DIA*DIAS_TRABALHADOS_NO_MES)-(PERC_DESC_TRANSP_REMUNERACAO%*(AL_1_A_SAL_BASE_SERV_HOSP)))&gt;0,((TRANSPORTE_POR_DIA*DIAS_TRABALHADOS_NO_MES)-(PERC_DESC_TRANSP_REMUNERACAO%*(AL_1_A_SAL_BASE_SERV_HOSP))),0)</f>
        <v>325.60000000000002</v>
      </c>
    </row>
    <row r="47" spans="2:6" ht="16.5" customHeight="1" x14ac:dyDescent="0.3">
      <c r="B47" s="34" t="s">
        <v>34</v>
      </c>
      <c r="C47" s="1" t="s">
        <v>89</v>
      </c>
      <c r="D47" s="1"/>
      <c r="E47" s="1"/>
      <c r="F47" s="91">
        <f>ALIMENTACAO_POR_DIA*DIAS_TRABALHADOS_NO_MES</f>
        <v>399.96</v>
      </c>
    </row>
    <row r="48" spans="2:6" ht="15.75" customHeight="1" x14ac:dyDescent="0.3">
      <c r="B48" s="34" t="s">
        <v>38</v>
      </c>
      <c r="C48" s="231" t="str">
        <f>OUTROS_BENEFICIOS_1_DESCRICAO</f>
        <v>Auxílio funeral</v>
      </c>
      <c r="D48" s="231"/>
      <c r="E48" s="231"/>
      <c r="F48" s="90">
        <f>OUTROS_BENEFICIOS_1</f>
        <v>15</v>
      </c>
    </row>
    <row r="49" spans="2:6" ht="15.75" customHeight="1" x14ac:dyDescent="0.3">
      <c r="B49" s="34" t="s">
        <v>42</v>
      </c>
      <c r="C49" s="227" t="str">
        <f>OUTROS_BENEFICIOS_2_DESCRICAO</f>
        <v>Outros Benefícios 2 (Especificar)</v>
      </c>
      <c r="D49" s="227"/>
      <c r="E49" s="227"/>
      <c r="F49" s="91">
        <f>OUTROS_BENEFICIOS_2</f>
        <v>0</v>
      </c>
    </row>
    <row r="50" spans="2:6" x14ac:dyDescent="0.3">
      <c r="B50" s="34" t="s">
        <v>45</v>
      </c>
      <c r="C50" s="231" t="str">
        <f>OUTROS_BENEFICIOS_3_DESCRICAO</f>
        <v>Outros Benefícios 3 (Especificar)</v>
      </c>
      <c r="D50" s="231"/>
      <c r="E50" s="231"/>
      <c r="F50" s="90">
        <f>OUTROS_BENEFICIOS_3</f>
        <v>0</v>
      </c>
    </row>
    <row r="51" spans="2:6" s="64" customFormat="1" ht="16.5" customHeight="1" x14ac:dyDescent="0.3">
      <c r="B51" s="226" t="s">
        <v>15</v>
      </c>
      <c r="C51" s="226"/>
      <c r="D51" s="226"/>
      <c r="E51" s="226"/>
      <c r="F51" s="112">
        <f>SUM(F46:F50)</f>
        <v>740.56</v>
      </c>
    </row>
    <row r="52" spans="2:6" s="64" customFormat="1" x14ac:dyDescent="0.3">
      <c r="B52" s="60" t="s">
        <v>141</v>
      </c>
      <c r="C52" s="71"/>
      <c r="D52" s="72"/>
      <c r="E52" s="73"/>
      <c r="F52" s="73"/>
    </row>
    <row r="53" spans="2:6" s="64" customFormat="1" x14ac:dyDescent="0.3">
      <c r="B53" s="33">
        <v>3</v>
      </c>
      <c r="C53" s="230" t="s">
        <v>142</v>
      </c>
      <c r="D53" s="230"/>
      <c r="E53" s="22" t="s">
        <v>100</v>
      </c>
      <c r="F53" s="22" t="s">
        <v>110</v>
      </c>
    </row>
    <row r="54" spans="2:6" s="64" customFormat="1" x14ac:dyDescent="0.3">
      <c r="B54" s="33" t="s">
        <v>31</v>
      </c>
      <c r="C54" s="241" t="s">
        <v>180</v>
      </c>
      <c r="D54" s="241"/>
      <c r="E54" s="93">
        <f>PERC_AVISO_PREVIO_IND</f>
        <v>0.26011000000000001</v>
      </c>
      <c r="F54" s="90">
        <f>PERC_AVISO_PREVIO_IND%*(MOD_1_REMUNERACAO_SERV_HOSP+SUBMOD_2_1_DEC_TERC_ADIC_FERIAS_SERV_HOSP+AL_2_2_FGTS_SERV_HOSP+SUBMOD_2_3_BENEFICIOS_SERV_HOSP)</f>
        <v>1.926270616</v>
      </c>
    </row>
    <row r="55" spans="2:6" s="64" customFormat="1" ht="15" customHeight="1" x14ac:dyDescent="0.3">
      <c r="B55" s="22" t="s">
        <v>34</v>
      </c>
      <c r="C55" s="242" t="s">
        <v>182</v>
      </c>
      <c r="D55" s="242"/>
      <c r="E55" s="96">
        <f>PERC_FGTS_AVISO_PREV_IND</f>
        <v>2.0808800000000002E-2</v>
      </c>
      <c r="F55" s="91">
        <f>PERC_FGTS_AVISO_PREV_IND%*(MOD_1_REMUNERACAO_SERV_HOSP+SUBMOD_2_1_DEC_TERC_ADIC_FERIAS_SERV_HOSP)</f>
        <v>0</v>
      </c>
    </row>
    <row r="56" spans="2:6" s="64" customFormat="1" x14ac:dyDescent="0.3">
      <c r="B56" s="22" t="s">
        <v>38</v>
      </c>
      <c r="C56" s="241" t="s">
        <v>184</v>
      </c>
      <c r="D56" s="241"/>
      <c r="E56" s="93">
        <f>PERC_MULTA_FGTS_AV_PREV_IND</f>
        <v>1.0404400000000001E-2</v>
      </c>
      <c r="F56" s="90">
        <f>PERC_MULTA_FGTS_AV_PREV_IND%*(MOD_1_REMUNERACAO_SERV_HOSP+SUBMOD_2_1_DEC_TERC_ADIC_FERIAS_SERV_HOSP)</f>
        <v>0</v>
      </c>
    </row>
    <row r="57" spans="2:6" s="64" customFormat="1" ht="15" customHeight="1" x14ac:dyDescent="0.3">
      <c r="B57" s="22" t="s">
        <v>42</v>
      </c>
      <c r="C57" s="242" t="s">
        <v>186</v>
      </c>
      <c r="D57" s="242"/>
      <c r="E57" s="96">
        <f>PERC_AVISO_PREVIO_TRAB</f>
        <v>1.0328632222222223</v>
      </c>
      <c r="F57" s="91">
        <f>PERC_AVISO_PREVIO_TRAB%*(MOD_1_REMUNERACAO_SERV_HOSP+SUBMOD_2_1_DEC_TERC_ADIC_FERIAS_SERV_HOSP+SUBMOD_2_2_GPS_FGTS_SERV_HOSP+SUBMOD_2_3_BENEFICIOS_SERV_HOSP)</f>
        <v>7.6489718784888883</v>
      </c>
    </row>
    <row r="58" spans="2:6" s="64" customFormat="1" x14ac:dyDescent="0.3">
      <c r="B58" s="22" t="s">
        <v>45</v>
      </c>
      <c r="C58" s="241" t="s">
        <v>188</v>
      </c>
      <c r="D58" s="241"/>
      <c r="E58" s="93">
        <f>PERC_GPS_FGTS_AVISO_PREVIO_TRAB</f>
        <v>0.38009366577777776</v>
      </c>
      <c r="F58" s="90">
        <f>PERC_GPS_FGTS_AVISO_PREVIO_TRAB%*(MOD_1_REMUNERACAO_SERV_HOSP+SUBMOD_2_1_DEC_TERC_ADIC_FERIAS_SERV_HOSP)</f>
        <v>0</v>
      </c>
    </row>
    <row r="59" spans="2:6" s="64" customFormat="1" x14ac:dyDescent="0.3">
      <c r="B59" s="22" t="s">
        <v>94</v>
      </c>
      <c r="C59" s="242" t="s">
        <v>190</v>
      </c>
      <c r="D59" s="242"/>
      <c r="E59" s="96">
        <f>PERC_MULTA_FGTS_AV_PREV_TRAB</f>
        <v>0.05</v>
      </c>
      <c r="F59" s="91">
        <f>PERC_MULTA_FGTS_AV_PREV_TRAB%*(MOD_1_REMUNERACAO_SERV_HOSP+SUBMOD_2_1_DEC_TERC_ADIC_FERIAS_SERV_HOSP)</f>
        <v>0</v>
      </c>
    </row>
    <row r="60" spans="2:6" s="18" customFormat="1" x14ac:dyDescent="0.3">
      <c r="B60" s="230" t="s">
        <v>15</v>
      </c>
      <c r="C60" s="230"/>
      <c r="D60" s="230"/>
      <c r="E60" s="230"/>
      <c r="F60" s="113">
        <f>SUM(F54:F59)</f>
        <v>9.5752424944888883</v>
      </c>
    </row>
    <row r="61" spans="2:6" s="18" customFormat="1" x14ac:dyDescent="0.3">
      <c r="B61" s="60" t="s">
        <v>96</v>
      </c>
      <c r="C61" s="71"/>
      <c r="D61" s="72"/>
      <c r="E61" s="15"/>
      <c r="F61" s="15"/>
    </row>
    <row r="62" spans="2:6" s="18" customFormat="1" x14ac:dyDescent="0.3">
      <c r="B62" s="60" t="s">
        <v>97</v>
      </c>
      <c r="C62" s="71"/>
      <c r="D62" s="72"/>
      <c r="E62" s="73"/>
      <c r="F62" s="73"/>
    </row>
    <row r="63" spans="2:6" s="18" customFormat="1" ht="16.5" customHeight="1" x14ac:dyDescent="0.15">
      <c r="B63" s="33" t="s">
        <v>98</v>
      </c>
      <c r="C63" s="226" t="s">
        <v>99</v>
      </c>
      <c r="D63" s="226"/>
      <c r="E63" s="22" t="s">
        <v>100</v>
      </c>
      <c r="F63" s="22" t="s">
        <v>110</v>
      </c>
    </row>
    <row r="64" spans="2:6" ht="16.5" customHeight="1" x14ac:dyDescent="0.3">
      <c r="B64" s="22" t="s">
        <v>31</v>
      </c>
      <c r="C64" s="236" t="s">
        <v>192</v>
      </c>
      <c r="D64" s="236"/>
      <c r="E64" s="93">
        <f>PERC_SUBSTITUTO_FERIAS</f>
        <v>8.3333333333333321</v>
      </c>
      <c r="F64" s="90">
        <f>PERC_SUBSTITUTO_FERIAS%*(MOD_1_REMUNERACAO_SERV_HOSP+MOD_2_ENCARGOS_BENEFICIOS_SERV_HOSP+MOD_3_PROVISAO_RESCISAO_SERV_HOSP)</f>
        <v>62.511270207874055</v>
      </c>
    </row>
    <row r="65" spans="2:6" s="18" customFormat="1" ht="15.95" customHeight="1" x14ac:dyDescent="0.15">
      <c r="B65" s="22" t="s">
        <v>34</v>
      </c>
      <c r="C65" s="1" t="s">
        <v>194</v>
      </c>
      <c r="D65" s="1"/>
      <c r="E65" s="96">
        <f>PERC_SUBSTITUTO_AUSENCIAS_LEGAIS</f>
        <v>2.2222222222222223</v>
      </c>
      <c r="F65" s="91">
        <f>PERC_SUBSTITUTO_AUSENCIAS_LEGAIS%*(MOD_1_REMUNERACAO_SERV_HOSP+MOD_2_ENCARGOS_BENEFICIOS_SERV_HOSP+MOD_3_PROVISAO_RESCISAO_SERV_HOSP)</f>
        <v>16.669672055433086</v>
      </c>
    </row>
    <row r="66" spans="2:6" s="18" customFormat="1" ht="15.95" customHeight="1" x14ac:dyDescent="0.15">
      <c r="B66" s="22" t="s">
        <v>38</v>
      </c>
      <c r="C66" s="236" t="s">
        <v>196</v>
      </c>
      <c r="D66" s="236"/>
      <c r="E66" s="93">
        <f>PERC_SUBSTITUTO_LICENCA_PATERNIDADE</f>
        <v>3.5673555555555549E-2</v>
      </c>
      <c r="F66" s="90">
        <f>PERC_SUBSTITUTO_LICENCA_PATERNIDADE%*(MOD_1_REMUNERACAO_SERV_HOSP+MOD_2_ENCARGOS_BENEFICIOS_SERV_HOSP+MOD_3_PROVISAO_RESCISAO_SERV_HOSP)</f>
        <v>0.2675999124730728</v>
      </c>
    </row>
    <row r="67" spans="2:6" s="18" customFormat="1" ht="16.5" customHeight="1" x14ac:dyDescent="0.15">
      <c r="B67" s="22" t="s">
        <v>42</v>
      </c>
      <c r="C67" s="1" t="s">
        <v>198</v>
      </c>
      <c r="D67" s="1"/>
      <c r="E67" s="96">
        <f>PERC_SUBSTITUTO_ACID_TRAB</f>
        <v>1.85302229372558E-2</v>
      </c>
      <c r="F67" s="91">
        <f>PERC_SUBSTITUTO_ACID_TRAB%*(MOD_1_REMUNERACAO_SERV_HOSP+MOD_2_ENCARGOS_BENEFICIOS_SERV_HOSP+MOD_3_PROVISAO_RESCISAO_SERV_HOSP)</f>
        <v>0.13900173276515318</v>
      </c>
    </row>
    <row r="68" spans="2:6" s="18" customFormat="1" ht="15.95" customHeight="1" x14ac:dyDescent="0.15">
      <c r="B68" s="22" t="s">
        <v>45</v>
      </c>
      <c r="C68" s="236" t="s">
        <v>200</v>
      </c>
      <c r="D68" s="236"/>
      <c r="E68" s="93">
        <f>PERC_SUBSTITUTO_AFAST_MATERN</f>
        <v>0.14312918399999999</v>
      </c>
      <c r="F68" s="90">
        <f>PERC_SUBSTITUTO_AFAST_MATERN%*(MOD_1_REMUNERACAO_SERV_HOSP+MOD_2_ENCARGOS_BENEFICIOS_SERV_HOSP+MOD_3_PROVISAO_RESCISAO_SERV_HOSP)</f>
        <v>1.0736624514787831</v>
      </c>
    </row>
    <row r="69" spans="2:6" s="18" customFormat="1" ht="15.95" customHeight="1" x14ac:dyDescent="0.15">
      <c r="B69" s="22" t="s">
        <v>94</v>
      </c>
      <c r="C69" s="252" t="str">
        <f>OUTRAS_AUSENCIAS_DESCRICAO</f>
        <v>Outras Ausências (Especificar em %)</v>
      </c>
      <c r="D69" s="252"/>
      <c r="E69" s="115">
        <f>PERC_SUBSTITUTO_OUTRAS_AUSENCIAS</f>
        <v>0</v>
      </c>
      <c r="F69" s="91">
        <f>PERC_SUBSTITUTO_OUTRAS_AUSENCIAS%*(MOD_1_REMUNERACAO_SERV_HOSP+MOD_2_ENCARGOS_BENEFICIOS_SERV_HOSP+MOD_3_PROVISAO_RESCISAO_SERV_HOSP)</f>
        <v>0</v>
      </c>
    </row>
    <row r="70" spans="2:6" s="18" customFormat="1" ht="15.95" customHeight="1" x14ac:dyDescent="0.3">
      <c r="B70" s="230" t="s">
        <v>15</v>
      </c>
      <c r="C70" s="230"/>
      <c r="D70" s="230"/>
      <c r="E70" s="230"/>
      <c r="F70" s="113">
        <f>SUM(F64:F69)</f>
        <v>80.661206360024153</v>
      </c>
    </row>
    <row r="71" spans="2:6" s="18" customFormat="1" x14ac:dyDescent="0.3">
      <c r="B71" s="60" t="s">
        <v>102</v>
      </c>
      <c r="C71" s="71"/>
      <c r="D71" s="72"/>
      <c r="E71" s="73"/>
      <c r="F71" s="73"/>
    </row>
    <row r="72" spans="2:6" s="18" customFormat="1" x14ac:dyDescent="0.15">
      <c r="B72" s="33" t="s">
        <v>103</v>
      </c>
      <c r="C72" s="230" t="s">
        <v>104</v>
      </c>
      <c r="D72" s="230"/>
      <c r="E72" s="230"/>
      <c r="F72" s="22" t="s">
        <v>110</v>
      </c>
    </row>
    <row r="73" spans="2:6" s="18" customFormat="1" ht="16.5" customHeight="1" x14ac:dyDescent="0.15">
      <c r="B73" s="33" t="s">
        <v>31</v>
      </c>
      <c r="C73" s="236" t="s">
        <v>211</v>
      </c>
      <c r="D73" s="236"/>
      <c r="E73" s="236"/>
      <c r="F73" s="110">
        <f>IF(DIAS_TRABALHADOS_NO_MES=15,((MOD_1_REMUNERACAO_SERV_HOSP+MOD_2_ENCARGOS_BENEFICIOS_SERV_HOSP+MOD_3_PROVISAO_RESCISAO_SERV_HOSP)/DIVISOR_DE_HORAS)*((TEMPO_INTERVALO_REFEICAO/HORA_NORMAL)+PERC_HORA_EXTRA%)*DIAS_TRABALHADOS_NO_MES,0)</f>
        <v>0</v>
      </c>
    </row>
    <row r="74" spans="2:6" s="18" customFormat="1" x14ac:dyDescent="0.3">
      <c r="B74" s="230" t="s">
        <v>15</v>
      </c>
      <c r="C74" s="230"/>
      <c r="D74" s="230"/>
      <c r="E74" s="230"/>
      <c r="F74" s="113">
        <f>SUM(F73)</f>
        <v>0</v>
      </c>
    </row>
    <row r="75" spans="2:6" s="18" customFormat="1" x14ac:dyDescent="0.3">
      <c r="B75" s="60" t="s">
        <v>108</v>
      </c>
      <c r="C75" s="71"/>
      <c r="D75" s="71"/>
      <c r="E75" s="73"/>
      <c r="F75" s="73"/>
    </row>
    <row r="76" spans="2:6" s="18" customFormat="1" ht="16.5" customHeight="1" x14ac:dyDescent="0.15">
      <c r="B76" s="74">
        <v>5</v>
      </c>
      <c r="C76" s="232" t="s">
        <v>109</v>
      </c>
      <c r="D76" s="232"/>
      <c r="E76" s="232"/>
      <c r="F76" s="75" t="s">
        <v>110</v>
      </c>
    </row>
    <row r="77" spans="2:6" s="18" customFormat="1" ht="16.5" customHeight="1" x14ac:dyDescent="0.3">
      <c r="B77" s="76" t="s">
        <v>31</v>
      </c>
      <c r="C77" s="233" t="s">
        <v>111</v>
      </c>
      <c r="D77" s="233"/>
      <c r="E77" s="233"/>
      <c r="F77" s="116">
        <f>UNIFORMES</f>
        <v>34.338000000000001</v>
      </c>
    </row>
    <row r="78" spans="2:6" ht="16.5" customHeight="1" x14ac:dyDescent="0.3">
      <c r="B78" s="76" t="s">
        <v>34</v>
      </c>
      <c r="C78" s="234" t="s">
        <v>112</v>
      </c>
      <c r="D78" s="234"/>
      <c r="E78" s="234"/>
      <c r="F78" s="117">
        <f>MATERIAIS</f>
        <v>1232.47</v>
      </c>
    </row>
    <row r="79" spans="2:6" ht="16.5" customHeight="1" x14ac:dyDescent="0.3">
      <c r="B79" s="76" t="s">
        <v>38</v>
      </c>
      <c r="C79" s="233" t="s">
        <v>113</v>
      </c>
      <c r="D79" s="233"/>
      <c r="E79" s="233"/>
      <c r="F79" s="116">
        <f>EQUIPAMENTOS</f>
        <v>7.91</v>
      </c>
    </row>
    <row r="80" spans="2:6" ht="15.75" customHeight="1" x14ac:dyDescent="0.3">
      <c r="B80" s="76" t="s">
        <v>42</v>
      </c>
      <c r="C80" s="253" t="str">
        <f>OUTROS_INSUMOS_DESCRICAO</f>
        <v>Outros Insumos (Especificar)</v>
      </c>
      <c r="D80" s="253"/>
      <c r="E80" s="253"/>
      <c r="F80" s="117">
        <f>OUTROS_INSUMOS</f>
        <v>0</v>
      </c>
    </row>
    <row r="81" spans="2:6" ht="16.5" customHeight="1" x14ac:dyDescent="0.3">
      <c r="B81" s="232" t="s">
        <v>15</v>
      </c>
      <c r="C81" s="232"/>
      <c r="D81" s="232"/>
      <c r="E81" s="232"/>
      <c r="F81" s="118">
        <f>SUM(F77:F80)</f>
        <v>1274.7180000000001</v>
      </c>
    </row>
    <row r="82" spans="2:6" ht="16.5" customHeight="1" x14ac:dyDescent="0.3">
      <c r="B82" s="235" t="s">
        <v>115</v>
      </c>
      <c r="C82" s="235"/>
      <c r="D82" s="235"/>
      <c r="E82" s="235"/>
      <c r="F82" s="235"/>
    </row>
    <row r="83" spans="2:6" x14ac:dyDescent="0.3">
      <c r="B83" s="33">
        <v>6</v>
      </c>
      <c r="C83" s="230" t="s">
        <v>116</v>
      </c>
      <c r="D83" s="230"/>
      <c r="E83" s="22" t="s">
        <v>100</v>
      </c>
      <c r="F83" s="22" t="s">
        <v>110</v>
      </c>
    </row>
    <row r="84" spans="2:6" ht="16.5" customHeight="1" x14ac:dyDescent="0.3">
      <c r="B84" s="33" t="s">
        <v>31</v>
      </c>
      <c r="C84" s="236" t="s">
        <v>117</v>
      </c>
      <c r="D84" s="236"/>
      <c r="E84" s="119">
        <f>PERC_CUSTOS_INDIRETOS</f>
        <v>4.7300000000000004</v>
      </c>
      <c r="F84" s="90">
        <f>PERC_CUSTOS_INDIRETOS%*(MOD_1_REMUNERACAO_SERV_HOSP+MOD_2_ENCARGOS_BENEFICIOS_SERV_HOSP+MOD_3_PROVISAO_RESCISAO_SERV_HOSP+MOD_4_CUSTO_REPOSICAO_SERV_HOSP+MOD_5_INSUMOS_SERV_HOSP)</f>
        <v>99.590833430818464</v>
      </c>
    </row>
    <row r="85" spans="2:6" ht="16.5" customHeight="1" x14ac:dyDescent="0.3">
      <c r="B85" s="22" t="s">
        <v>34</v>
      </c>
      <c r="C85" s="1" t="s">
        <v>118</v>
      </c>
      <c r="D85" s="1"/>
      <c r="E85" s="120">
        <f>PERC_LUCRO</f>
        <v>5.57</v>
      </c>
      <c r="F85" s="91">
        <f>PERC_LUCRO%*(MOD_1_REMUNERACAO_SERV_HOSP+MOD_2_ENCARGOS_BENEFICIOS_SERV_HOSP+MOD_3_PROVISAO_RESCISAO_SERV_HOSP+MOD_4_CUSTO_REPOSICAO_SERV_HOSP+MOD_5_INSUMOS_SERV_HOSP+AL_6_A_CUSTOS_INDIRETOS_SERV_HOSP)</f>
        <v>122.82436422329295</v>
      </c>
    </row>
    <row r="86" spans="2:6" ht="15" customHeight="1" x14ac:dyDescent="0.3">
      <c r="B86" s="22" t="s">
        <v>38</v>
      </c>
      <c r="C86" s="236" t="s">
        <v>212</v>
      </c>
      <c r="D86" s="236"/>
      <c r="E86" s="119">
        <f>SUM(E87:E89)</f>
        <v>8.65</v>
      </c>
      <c r="F86" s="90">
        <f>SUM(F87:F89)</f>
        <v>220.43340385659113</v>
      </c>
    </row>
    <row r="87" spans="2:6" ht="16.5" customHeight="1" x14ac:dyDescent="0.3">
      <c r="B87" s="82" t="s">
        <v>119</v>
      </c>
      <c r="C87" s="254" t="s">
        <v>120</v>
      </c>
      <c r="D87" s="254"/>
      <c r="E87" s="121">
        <f>PERC_PIS</f>
        <v>0.65</v>
      </c>
      <c r="F87" s="122">
        <f>((MOD_1_REMUNERACAO_SERV_HOSP+MOD_2_ENCARGOS_BENEFICIOS_SERV_HOSP+MOD_3_PROVISAO_RESCISAO_SERV_HOSP+MOD_4_CUSTO_REPOSICAO_SERV_HOSP+MOD_5_INSUMOS_SERV_HOSP+AL_6_A_CUSTOS_INDIRETOS_SERV_HOSP+AL_6_B_LUCRO_SERV_HOSP)*PERC_PIS%)/(1-PERC_TRIBUTOS%)</f>
        <v>16.564359827373902</v>
      </c>
    </row>
    <row r="88" spans="2:6" ht="16.5" customHeight="1" x14ac:dyDescent="0.3">
      <c r="B88" s="82" t="s">
        <v>121</v>
      </c>
      <c r="C88" s="255" t="s">
        <v>122</v>
      </c>
      <c r="D88" s="255"/>
      <c r="E88" s="123">
        <f>PERC_COFINS</f>
        <v>3</v>
      </c>
      <c r="F88" s="124">
        <f>((MOD_1_REMUNERACAO_SERV_HOSP+MOD_2_ENCARGOS_BENEFICIOS_SERV_HOSP+MOD_3_PROVISAO_RESCISAO_SERV_HOSP+MOD_4_CUSTO_REPOSICAO_SERV_HOSP+MOD_5_INSUMOS_SERV_HOSP+AL_6_A_CUSTOS_INDIRETOS_SERV_HOSP+AL_6_B_LUCRO_SERV_HOSP)*PERC_COFINS%)/(1-PERC_TRIBUTOS%)</f>
        <v>76.450891510956453</v>
      </c>
    </row>
    <row r="89" spans="2:6" ht="15.75" customHeight="1" x14ac:dyDescent="0.3">
      <c r="B89" s="82" t="s">
        <v>123</v>
      </c>
      <c r="C89" s="254" t="s">
        <v>124</v>
      </c>
      <c r="D89" s="254"/>
      <c r="E89" s="121">
        <f>PERC_ISS</f>
        <v>5</v>
      </c>
      <c r="F89" s="122">
        <f>((MOD_1_REMUNERACAO_SERV_HOSP+MOD_2_ENCARGOS_BENEFICIOS_SERV_HOSP+MOD_3_PROVISAO_RESCISAO_SERV_HOSP+MOD_4_CUSTO_REPOSICAO_SERV_HOSP+MOD_5_INSUMOS_SERV_HOSP+AL_6_A_CUSTOS_INDIRETOS_SERV_HOSP+AL_6_B_LUCRO_SERV_HOSP)*PERC_ISS%)/(1-PERC_TRIBUTOS%)</f>
        <v>127.41815251826077</v>
      </c>
    </row>
    <row r="90" spans="2:6" x14ac:dyDescent="0.3">
      <c r="B90" s="230" t="s">
        <v>15</v>
      </c>
      <c r="C90" s="230"/>
      <c r="D90" s="230"/>
      <c r="E90" s="230"/>
      <c r="F90" s="125">
        <f>AL_6_A_CUSTOS_INDIRETOS_SERV_HOSP+AL_6_B_LUCRO_SERV_HOSP+AL_6_C_TRIBUTOS_SERV_HOSP</f>
        <v>442.84860151070257</v>
      </c>
    </row>
    <row r="91" spans="2:6" ht="15.75" customHeight="1" x14ac:dyDescent="0.3">
      <c r="B91" s="126" t="s">
        <v>213</v>
      </c>
      <c r="C91" s="127"/>
      <c r="D91" s="127"/>
      <c r="E91" s="127"/>
      <c r="F91" s="128"/>
    </row>
    <row r="92" spans="2:6" ht="16.5" customHeight="1" x14ac:dyDescent="0.3">
      <c r="B92" s="22" t="s">
        <v>214</v>
      </c>
      <c r="C92" s="226" t="s">
        <v>215</v>
      </c>
      <c r="D92" s="226"/>
      <c r="E92" s="226"/>
      <c r="F92" s="22" t="s">
        <v>216</v>
      </c>
    </row>
    <row r="93" spans="2:6" s="78" customFormat="1" ht="16.5" customHeight="1" x14ac:dyDescent="0.3">
      <c r="B93" s="33">
        <v>1</v>
      </c>
      <c r="C93" s="236" t="s">
        <v>75</v>
      </c>
      <c r="D93" s="236"/>
      <c r="E93" s="236"/>
      <c r="F93" s="90">
        <f>MOD_1_REMUNERACAO_SERV_HOSP</f>
        <v>0</v>
      </c>
    </row>
    <row r="94" spans="2:6" s="78" customFormat="1" ht="16.5" customHeight="1" x14ac:dyDescent="0.3">
      <c r="B94" s="22">
        <v>2</v>
      </c>
      <c r="C94" s="1" t="s">
        <v>217</v>
      </c>
      <c r="D94" s="1"/>
      <c r="E94" s="1"/>
      <c r="F94" s="91">
        <f>MOD_2_ENCARGOS_BENEFICIOS_SERV_HOSP</f>
        <v>740.56</v>
      </c>
    </row>
    <row r="95" spans="2:6" s="78" customFormat="1" ht="16.5" customHeight="1" x14ac:dyDescent="0.3">
      <c r="B95" s="22">
        <v>3</v>
      </c>
      <c r="C95" s="236" t="s">
        <v>142</v>
      </c>
      <c r="D95" s="236"/>
      <c r="E95" s="236"/>
      <c r="F95" s="90">
        <f>MOD_3_PROVISAO_RESCISAO_SERV_HOSP</f>
        <v>9.5752424944888883</v>
      </c>
    </row>
    <row r="96" spans="2:6" s="79" customFormat="1" ht="16.5" customHeight="1" x14ac:dyDescent="0.3">
      <c r="B96" s="22">
        <v>4</v>
      </c>
      <c r="C96" s="1" t="s">
        <v>218</v>
      </c>
      <c r="D96" s="1"/>
      <c r="E96" s="1"/>
      <c r="F96" s="91">
        <f>MOD_4_CUSTO_REPOSICAO_SERV_HOSP</f>
        <v>80.661206360024153</v>
      </c>
    </row>
    <row r="97" spans="2:6" s="78" customFormat="1" ht="16.5" customHeight="1" x14ac:dyDescent="0.3">
      <c r="B97" s="22">
        <v>5</v>
      </c>
      <c r="C97" s="236" t="s">
        <v>109</v>
      </c>
      <c r="D97" s="236"/>
      <c r="E97" s="236"/>
      <c r="F97" s="90">
        <f>MOD_5_INSUMOS_SERV_HOSP</f>
        <v>1274.7180000000001</v>
      </c>
    </row>
    <row r="98" spans="2:6" s="80" customFormat="1" ht="16.5" customHeight="1" x14ac:dyDescent="0.3">
      <c r="B98" s="22">
        <v>6</v>
      </c>
      <c r="C98" s="1" t="s">
        <v>116</v>
      </c>
      <c r="D98" s="1"/>
      <c r="E98" s="1"/>
      <c r="F98" s="91">
        <f>MOD_6_CUSTOS_IND_LUCRO_TRIB_SERV_HOSP</f>
        <v>442.84860151070257</v>
      </c>
    </row>
    <row r="99" spans="2:6" s="80" customFormat="1" ht="16.5" customHeight="1" x14ac:dyDescent="0.3">
      <c r="B99" s="226" t="s">
        <v>225</v>
      </c>
      <c r="C99" s="226"/>
      <c r="D99" s="226"/>
      <c r="E99" s="226"/>
      <c r="F99" s="125">
        <f>SUM(F93:F98)</f>
        <v>2548.3630503652157</v>
      </c>
    </row>
  </sheetData>
  <sheetProtection sheet="1" objects="1" scenarios="1"/>
  <mergeCells count="91">
    <mergeCell ref="C95:E95"/>
    <mergeCell ref="C96:E96"/>
    <mergeCell ref="C97:E97"/>
    <mergeCell ref="C98:E98"/>
    <mergeCell ref="B99:E99"/>
    <mergeCell ref="C89:D89"/>
    <mergeCell ref="B90:E90"/>
    <mergeCell ref="C92:E92"/>
    <mergeCell ref="C93:E93"/>
    <mergeCell ref="C94:E94"/>
    <mergeCell ref="C84:D84"/>
    <mergeCell ref="C85:D85"/>
    <mergeCell ref="C86:D86"/>
    <mergeCell ref="C87:D87"/>
    <mergeCell ref="C88:D88"/>
    <mergeCell ref="C79:E79"/>
    <mergeCell ref="C80:E80"/>
    <mergeCell ref="B81:E81"/>
    <mergeCell ref="B82:F82"/>
    <mergeCell ref="C83:D83"/>
    <mergeCell ref="C73:E73"/>
    <mergeCell ref="B74:E74"/>
    <mergeCell ref="C76:E76"/>
    <mergeCell ref="C77:E77"/>
    <mergeCell ref="C78:E78"/>
    <mergeCell ref="C67:D67"/>
    <mergeCell ref="C68:D68"/>
    <mergeCell ref="C69:D69"/>
    <mergeCell ref="B70:E70"/>
    <mergeCell ref="C72:E72"/>
    <mergeCell ref="B60:E60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49:E49"/>
    <mergeCell ref="C50:E50"/>
    <mergeCell ref="B51:E51"/>
    <mergeCell ref="C53:D53"/>
    <mergeCell ref="C54:D54"/>
    <mergeCell ref="B43:E43"/>
    <mergeCell ref="C45:E45"/>
    <mergeCell ref="C46:E46"/>
    <mergeCell ref="C47:E47"/>
    <mergeCell ref="C48:E48"/>
    <mergeCell ref="C38:D38"/>
    <mergeCell ref="C39:D39"/>
    <mergeCell ref="C40:D40"/>
    <mergeCell ref="C41:D41"/>
    <mergeCell ref="C42:D42"/>
    <mergeCell ref="B33:F33"/>
    <mergeCell ref="C34:D34"/>
    <mergeCell ref="C35:D35"/>
    <mergeCell ref="C36:D36"/>
    <mergeCell ref="C37:D37"/>
    <mergeCell ref="B26:E26"/>
    <mergeCell ref="C29:D29"/>
    <mergeCell ref="C30:D30"/>
    <mergeCell ref="C31:D31"/>
    <mergeCell ref="B32:E32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C20:E20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ageMargins left="0.51180555555555496" right="0.51180555555555496" top="0.78749999999999998" bottom="0.78749999999999998" header="0.51180555555555496" footer="0.51180555555555496"/>
  <pageSetup paperSize="9" scale="85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8"/>
  <sheetViews>
    <sheetView topLeftCell="A25" zoomScale="90" zoomScaleNormal="90" workbookViewId="0">
      <selection activeCell="F30" sqref="F30"/>
    </sheetView>
  </sheetViews>
  <sheetFormatPr defaultRowHeight="16.5" x14ac:dyDescent="0.2"/>
  <cols>
    <col min="1" max="1" width="1.140625" style="134" customWidth="1"/>
    <col min="2" max="2" width="20.7109375" style="129" customWidth="1"/>
    <col min="3" max="3" width="18.5703125" style="129" customWidth="1"/>
    <col min="4" max="4" width="17.42578125" style="129" customWidth="1"/>
    <col min="5" max="5" width="16.42578125" style="129" customWidth="1"/>
    <col min="6" max="6" width="17.7109375" style="130" customWidth="1"/>
    <col min="7" max="7" width="18.85546875" style="130" customWidth="1"/>
    <col min="8" max="8" width="17.28515625" style="130" customWidth="1"/>
    <col min="9" max="256" width="9.140625" style="134" customWidth="1"/>
    <col min="257" max="257" width="1.140625" style="134" customWidth="1"/>
    <col min="258" max="258" width="20.7109375" style="134" customWidth="1"/>
    <col min="259" max="259" width="23.42578125" style="134" customWidth="1"/>
    <col min="260" max="260" width="20.5703125" style="134" customWidth="1"/>
    <col min="261" max="261" width="20" style="134" customWidth="1"/>
    <col min="262" max="262" width="23.140625" style="134" customWidth="1"/>
    <col min="263" max="263" width="13.5703125" style="134" customWidth="1"/>
    <col min="264" max="264" width="17.28515625" style="134" customWidth="1"/>
    <col min="265" max="512" width="9.140625" style="134" customWidth="1"/>
    <col min="513" max="513" width="1.140625" style="134" customWidth="1"/>
    <col min="514" max="514" width="20.7109375" style="134" customWidth="1"/>
    <col min="515" max="515" width="23.42578125" style="134" customWidth="1"/>
    <col min="516" max="516" width="20.5703125" style="134" customWidth="1"/>
    <col min="517" max="517" width="20" style="134" customWidth="1"/>
    <col min="518" max="518" width="23.140625" style="134" customWidth="1"/>
    <col min="519" max="519" width="13.5703125" style="134" customWidth="1"/>
    <col min="520" max="520" width="17.28515625" style="134" customWidth="1"/>
    <col min="521" max="768" width="9.140625" style="134" customWidth="1"/>
    <col min="769" max="769" width="1.140625" style="134" customWidth="1"/>
    <col min="770" max="770" width="20.7109375" style="134" customWidth="1"/>
    <col min="771" max="771" width="23.42578125" style="134" customWidth="1"/>
    <col min="772" max="772" width="20.5703125" style="134" customWidth="1"/>
    <col min="773" max="773" width="20" style="134" customWidth="1"/>
    <col min="774" max="774" width="23.140625" style="134" customWidth="1"/>
    <col min="775" max="775" width="13.5703125" style="134" customWidth="1"/>
    <col min="776" max="776" width="17.28515625" style="134" customWidth="1"/>
    <col min="777" max="1025" width="9.140625" style="134" customWidth="1"/>
  </cols>
  <sheetData>
    <row r="1" spans="1:8" s="137" customFormat="1" ht="20.25" x14ac:dyDescent="0.2">
      <c r="B1" s="256" t="str">
        <f>RAMO</f>
        <v>RAMO: MINISTÉRIO PÚBLICO FEDERAL</v>
      </c>
      <c r="C1" s="256"/>
      <c r="D1" s="256"/>
      <c r="E1" s="256"/>
      <c r="F1" s="256"/>
      <c r="G1" s="256"/>
      <c r="H1" s="256"/>
    </row>
    <row r="2" spans="1:8" s="137" customFormat="1" ht="20.25" x14ac:dyDescent="0.35">
      <c r="B2" s="257" t="str">
        <f>UG</f>
        <v>UNIDADE GESTORA (SIGLA): PR/AP</v>
      </c>
      <c r="C2" s="257"/>
      <c r="D2" s="257"/>
      <c r="E2" s="257"/>
      <c r="F2" s="257"/>
      <c r="G2" s="99" t="s">
        <v>3</v>
      </c>
      <c r="H2" s="100">
        <f>IF(DATA_DO_ORCAMENTO_ESTIMATIVO="","",DATA_DO_ORCAMENTO_ESTIMATIVO)</f>
        <v>43921</v>
      </c>
    </row>
    <row r="3" spans="1:8" ht="9" customHeight="1" x14ac:dyDescent="0.2"/>
    <row r="4" spans="1:8" ht="20.25" x14ac:dyDescent="0.2">
      <c r="B4" s="258" t="s">
        <v>226</v>
      </c>
      <c r="C4" s="258"/>
      <c r="D4" s="258"/>
      <c r="E4" s="258"/>
      <c r="F4" s="258"/>
      <c r="G4" s="258"/>
      <c r="H4" s="258"/>
    </row>
    <row r="5" spans="1:8" ht="15" customHeight="1" x14ac:dyDescent="0.2">
      <c r="B5" s="259" t="s">
        <v>227</v>
      </c>
      <c r="C5" s="259"/>
      <c r="D5" s="259"/>
      <c r="E5" s="259"/>
      <c r="F5" s="259"/>
      <c r="G5" s="259"/>
      <c r="H5" s="259"/>
    </row>
    <row r="6" spans="1:8" s="138" customFormat="1" ht="10.5" customHeight="1" x14ac:dyDescent="0.2">
      <c r="B6" s="139"/>
      <c r="C6" s="139"/>
      <c r="D6" s="139"/>
      <c r="E6" s="139"/>
      <c r="F6" s="139"/>
      <c r="G6" s="139"/>
      <c r="H6" s="139"/>
    </row>
    <row r="7" spans="1:8" ht="15" customHeight="1" x14ac:dyDescent="0.2">
      <c r="B7" s="259" t="s">
        <v>228</v>
      </c>
      <c r="C7" s="259"/>
      <c r="D7" s="259"/>
      <c r="E7" s="259"/>
      <c r="F7" s="259"/>
      <c r="G7" s="259"/>
      <c r="H7" s="259"/>
    </row>
    <row r="8" spans="1:8" ht="14.25" customHeight="1" x14ac:dyDescent="0.2">
      <c r="B8" s="260" t="s">
        <v>229</v>
      </c>
      <c r="C8" s="260"/>
      <c r="D8" s="260"/>
      <c r="E8" s="260"/>
      <c r="F8" s="260"/>
      <c r="G8" s="260"/>
      <c r="H8" s="260"/>
    </row>
    <row r="9" spans="1:8" ht="15.75" customHeight="1" x14ac:dyDescent="0.2">
      <c r="B9" s="260"/>
      <c r="C9" s="260"/>
      <c r="D9" s="260"/>
      <c r="E9" s="260"/>
      <c r="F9" s="260"/>
      <c r="G9" s="260"/>
      <c r="H9" s="260"/>
    </row>
    <row r="10" spans="1:8" ht="12.75" customHeight="1" x14ac:dyDescent="0.2">
      <c r="A10" s="140"/>
      <c r="B10" s="261" t="s">
        <v>230</v>
      </c>
      <c r="C10" s="6" t="s">
        <v>231</v>
      </c>
      <c r="D10" s="6" t="s">
        <v>232</v>
      </c>
      <c r="E10" s="6" t="s">
        <v>233</v>
      </c>
      <c r="F10" s="141"/>
      <c r="H10" s="134"/>
    </row>
    <row r="11" spans="1:8" ht="21" customHeight="1" x14ac:dyDescent="0.2">
      <c r="A11" s="140"/>
      <c r="B11" s="261"/>
      <c r="C11" s="6"/>
      <c r="D11" s="6"/>
      <c r="E11" s="6"/>
      <c r="F11" s="141"/>
      <c r="H11" s="134"/>
    </row>
    <row r="12" spans="1:8" x14ac:dyDescent="0.2">
      <c r="A12" s="140"/>
      <c r="B12" s="142" t="s">
        <v>234</v>
      </c>
      <c r="C12" s="143">
        <f>IFERROR(1/(PRODUT_AREA_INTERNA*RELACAO_SERVENTES_ENCARREGADOS),0)</f>
        <v>0</v>
      </c>
      <c r="D12" s="144">
        <f>ENCARREGADOS!VALOR_TOTAL_ENC</f>
        <v>0</v>
      </c>
      <c r="E12" s="145">
        <f>IFERROR(1/((PRODUT_AREA_INTERNA*RELACAO_SERVENTES_ENCARREGADOS))*ENCARREGADOS!VALOR_TOTAL_ENC,0)</f>
        <v>0</v>
      </c>
      <c r="F12" s="141"/>
      <c r="H12" s="134"/>
    </row>
    <row r="13" spans="1:8" x14ac:dyDescent="0.2">
      <c r="A13" s="140"/>
      <c r="B13" s="142" t="s">
        <v>235</v>
      </c>
      <c r="C13" s="146">
        <f>IFERROR(1/PRODUT_AREA_INTERNA,0)</f>
        <v>1.25E-3</v>
      </c>
      <c r="D13" s="147">
        <f>VALOR_TOTAL_SERV</f>
        <v>4636.4181734621161</v>
      </c>
      <c r="E13" s="148">
        <f>IFERROR(1/(PRODUT_AREA_INTERNA)*VALOR_TOTAL_SERV,0)</f>
        <v>5.7955227168276453</v>
      </c>
      <c r="F13" s="141"/>
      <c r="H13" s="134"/>
    </row>
    <row r="14" spans="1:8" x14ac:dyDescent="0.2">
      <c r="A14" s="140"/>
      <c r="B14" s="149" t="s">
        <v>236</v>
      </c>
      <c r="C14" s="149"/>
      <c r="D14" s="149"/>
      <c r="E14" s="150">
        <f>E12+E13</f>
        <v>5.7955227168276453</v>
      </c>
      <c r="F14" s="141"/>
      <c r="H14" s="134"/>
    </row>
    <row r="15" spans="1:8" ht="3.75" customHeight="1" x14ac:dyDescent="0.2">
      <c r="B15" s="151"/>
      <c r="C15" s="152"/>
      <c r="D15" s="152"/>
      <c r="E15" s="152"/>
      <c r="F15" s="153"/>
      <c r="H15" s="134"/>
    </row>
    <row r="16" spans="1:8" s="154" customFormat="1" ht="15.75" customHeight="1" x14ac:dyDescent="0.2">
      <c r="B16" s="260" t="s">
        <v>237</v>
      </c>
      <c r="C16" s="260"/>
      <c r="D16" s="260"/>
      <c r="E16" s="260"/>
      <c r="F16" s="260"/>
      <c r="G16" s="260"/>
      <c r="H16" s="260"/>
    </row>
    <row r="17" spans="1:8" s="154" customFormat="1" ht="15.75" customHeight="1" x14ac:dyDescent="0.2">
      <c r="B17" s="260"/>
      <c r="C17" s="260"/>
      <c r="D17" s="260"/>
      <c r="E17" s="260"/>
      <c r="F17" s="260"/>
      <c r="G17" s="260"/>
      <c r="H17" s="260"/>
    </row>
    <row r="18" spans="1:8" ht="12.75" customHeight="1" x14ac:dyDescent="0.2">
      <c r="A18" s="140"/>
      <c r="B18" s="261" t="s">
        <v>230</v>
      </c>
      <c r="C18" s="6" t="s">
        <v>231</v>
      </c>
      <c r="D18" s="6" t="s">
        <v>232</v>
      </c>
      <c r="E18" s="6" t="s">
        <v>233</v>
      </c>
      <c r="F18" s="141"/>
    </row>
    <row r="19" spans="1:8" x14ac:dyDescent="0.2">
      <c r="A19" s="140"/>
      <c r="B19" s="261"/>
      <c r="C19" s="6"/>
      <c r="D19" s="6"/>
      <c r="E19" s="6"/>
      <c r="F19" s="141"/>
      <c r="G19" s="129"/>
    </row>
    <row r="20" spans="1:8" x14ac:dyDescent="0.2">
      <c r="A20" s="140"/>
      <c r="B20" s="142" t="s">
        <v>234</v>
      </c>
      <c r="C20" s="143">
        <f>IFERROR(1/(PRODUT_AREA_EXTERNA*RELACAO_SERVENTES_ENCARREGADOS),0)</f>
        <v>0</v>
      </c>
      <c r="D20" s="144">
        <f>ENCARREGADOS!VALOR_TOTAL_ENC</f>
        <v>0</v>
      </c>
      <c r="E20" s="145">
        <f>IFERROR(1/((PRODUT_AREA_EXTERNA*RELACAO_SERVENTES_ENCARREGADOS))*ENCARREGADOS!VALOR_TOTAL_ENC,0)</f>
        <v>0</v>
      </c>
      <c r="F20" s="141"/>
      <c r="G20" s="129"/>
    </row>
    <row r="21" spans="1:8" x14ac:dyDescent="0.2">
      <c r="A21" s="140"/>
      <c r="B21" s="142" t="s">
        <v>235</v>
      </c>
      <c r="C21" s="146">
        <f>IFERROR(1/PRODUT_AREA_EXTERNA,0)</f>
        <v>5.5555555555555556E-4</v>
      </c>
      <c r="D21" s="147">
        <f>VALOR_TOTAL_SERV</f>
        <v>4636.4181734621161</v>
      </c>
      <c r="E21" s="148">
        <f>IFERROR(1/(PRODUT_AREA_EXTERNA)*VALOR_TOTAL_SERV,0)</f>
        <v>2.5757878741456199</v>
      </c>
      <c r="F21" s="141"/>
      <c r="G21" s="129"/>
    </row>
    <row r="22" spans="1:8" x14ac:dyDescent="0.2">
      <c r="A22" s="140"/>
      <c r="B22" s="149" t="s">
        <v>238</v>
      </c>
      <c r="C22" s="149"/>
      <c r="D22" s="149"/>
      <c r="E22" s="150">
        <f>E20+E21</f>
        <v>2.5757878741456199</v>
      </c>
      <c r="F22" s="141"/>
      <c r="G22" s="129"/>
    </row>
    <row r="23" spans="1:8" ht="3.75" customHeight="1" x14ac:dyDescent="0.2">
      <c r="B23" s="151"/>
      <c r="C23" s="152"/>
      <c r="D23" s="152"/>
      <c r="E23" s="152"/>
      <c r="F23" s="155"/>
      <c r="G23" s="141"/>
      <c r="H23" s="141"/>
    </row>
    <row r="24" spans="1:8" s="154" customFormat="1" ht="12.75" customHeight="1" x14ac:dyDescent="0.2">
      <c r="B24" s="260" t="s">
        <v>239</v>
      </c>
      <c r="C24" s="260"/>
      <c r="D24" s="260"/>
      <c r="E24" s="260"/>
      <c r="F24" s="260"/>
      <c r="G24" s="260"/>
      <c r="H24" s="260"/>
    </row>
    <row r="25" spans="1:8" s="154" customFormat="1" ht="15.75" customHeight="1" x14ac:dyDescent="0.2">
      <c r="B25" s="260"/>
      <c r="C25" s="260"/>
      <c r="D25" s="260"/>
      <c r="E25" s="260"/>
      <c r="F25" s="260"/>
      <c r="G25" s="260"/>
      <c r="H25" s="260"/>
    </row>
    <row r="26" spans="1:8" ht="14.25" customHeight="1" x14ac:dyDescent="0.2">
      <c r="A26" s="140"/>
      <c r="B26" s="261" t="s">
        <v>230</v>
      </c>
      <c r="C26" s="6" t="s">
        <v>231</v>
      </c>
      <c r="D26" s="6" t="s">
        <v>240</v>
      </c>
      <c r="E26" s="6" t="s">
        <v>241</v>
      </c>
      <c r="F26" s="6" t="s">
        <v>242</v>
      </c>
      <c r="G26" s="6" t="s">
        <v>243</v>
      </c>
      <c r="H26" s="6" t="s">
        <v>244</v>
      </c>
    </row>
    <row r="27" spans="1:8" ht="14.25" x14ac:dyDescent="0.2">
      <c r="A27" s="140"/>
      <c r="B27" s="261"/>
      <c r="C27" s="6"/>
      <c r="D27" s="6"/>
      <c r="E27" s="6"/>
      <c r="F27" s="6"/>
      <c r="G27" s="6"/>
      <c r="H27" s="6"/>
    </row>
    <row r="28" spans="1:8" ht="36" customHeight="1" x14ac:dyDescent="0.2">
      <c r="A28" s="140"/>
      <c r="B28" s="261"/>
      <c r="C28" s="6"/>
      <c r="D28" s="6"/>
      <c r="E28" s="6"/>
      <c r="F28" s="6"/>
      <c r="G28" s="6"/>
      <c r="H28" s="6"/>
    </row>
    <row r="29" spans="1:8" x14ac:dyDescent="0.2">
      <c r="A29" s="140"/>
      <c r="B29" s="142" t="s">
        <v>234</v>
      </c>
      <c r="C29" s="143">
        <f>IFERROR(1/(PRODUT_AREA_ESQ_EXTERNA*RELACAO_SERVENTES_ENCARREGADOS),0)</f>
        <v>0</v>
      </c>
      <c r="D29" s="156">
        <f>FREQ_ESQ_EXTERNA</f>
        <v>16</v>
      </c>
      <c r="E29" s="157">
        <f>1/((DIAS_NO_MES/DIAS_NA_SEMANA)*CARGA_HORARIA_SEMANAL)</f>
        <v>5.3030303030303034E-3</v>
      </c>
      <c r="F29" s="157">
        <f>IFERROR((1/(PRODUT_AREA_ESQ_EXTERNA*RELACAO_SERVENTES_ENCARREGADOS)*FREQ_ESQ_EXTERNA*JORNADA_MES_ESQ_EXTERNA_ENC),0)</f>
        <v>0</v>
      </c>
      <c r="G29" s="144">
        <f>ENCARREGADOS!VALOR_TOTAL_ENC</f>
        <v>0</v>
      </c>
      <c r="H29" s="144">
        <f>COEF_KI_ESQ_EXTERNA_ENC*ENCARREGADOS!VALOR_TOTAL_ENC</f>
        <v>0</v>
      </c>
    </row>
    <row r="30" spans="1:8" x14ac:dyDescent="0.2">
      <c r="A30" s="140"/>
      <c r="B30" s="142" t="s">
        <v>235</v>
      </c>
      <c r="C30" s="146">
        <f>IFERROR(1/PRODUT_AREA_ESQ_EXTERNA,0)</f>
        <v>3.3333333333333335E-3</v>
      </c>
      <c r="D30" s="158">
        <f>FREQ_ESQ_EXTERNA</f>
        <v>16</v>
      </c>
      <c r="E30" s="159">
        <f>1/((DIAS_NO_MES/DIAS_NA_SEMANA)*CARGA_HORARIA_SEMANAL)</f>
        <v>5.3030303030303034E-3</v>
      </c>
      <c r="F30" s="159">
        <f>IFERROR((1/PRODUT_AREA_ESQ_EXTERNA)*FREQ_ESQ_EXTERNA*JORNADA_MES_ESQ_EXTERNA_SERV,0)</f>
        <v>2.8282828282828287E-4</v>
      </c>
      <c r="G30" s="147">
        <f>VALOR_TOTAL_SERV</f>
        <v>4636.4181734621161</v>
      </c>
      <c r="H30" s="147">
        <f>COEF_KI_ESQ_EXTERNA_SERV*VALOR_TOTAL_SERV</f>
        <v>1.311310190474134</v>
      </c>
    </row>
    <row r="31" spans="1:8" x14ac:dyDescent="0.2">
      <c r="A31" s="140"/>
      <c r="B31" s="230" t="s">
        <v>245</v>
      </c>
      <c r="C31" s="230"/>
      <c r="D31" s="230"/>
      <c r="E31" s="230"/>
      <c r="F31" s="230"/>
      <c r="G31" s="230"/>
      <c r="H31" s="150">
        <f>H29+H30</f>
        <v>1.311310190474134</v>
      </c>
    </row>
    <row r="32" spans="1:8" ht="3.75" customHeight="1" x14ac:dyDescent="0.2">
      <c r="A32" s="140"/>
      <c r="B32" s="151"/>
      <c r="C32" s="152"/>
      <c r="D32" s="152"/>
      <c r="E32" s="152"/>
      <c r="F32" s="152"/>
      <c r="G32" s="152"/>
      <c r="H32" s="152"/>
    </row>
    <row r="33" spans="1:8" s="154" customFormat="1" ht="18" customHeight="1" x14ac:dyDescent="0.2">
      <c r="B33" s="260" t="s">
        <v>246</v>
      </c>
      <c r="C33" s="260"/>
      <c r="D33" s="260"/>
      <c r="E33" s="260"/>
      <c r="F33" s="260"/>
      <c r="G33" s="260"/>
      <c r="H33" s="260"/>
    </row>
    <row r="34" spans="1:8" ht="14.25" customHeight="1" x14ac:dyDescent="0.2">
      <c r="B34" s="261" t="s">
        <v>230</v>
      </c>
      <c r="C34" s="6" t="s">
        <v>231</v>
      </c>
      <c r="D34" s="6" t="s">
        <v>240</v>
      </c>
      <c r="E34" s="6" t="s">
        <v>247</v>
      </c>
      <c r="F34" s="6" t="s">
        <v>242</v>
      </c>
      <c r="G34" s="6" t="s">
        <v>243</v>
      </c>
      <c r="H34" s="6" t="s">
        <v>244</v>
      </c>
    </row>
    <row r="35" spans="1:8" ht="12.75" customHeight="1" x14ac:dyDescent="0.2">
      <c r="A35" s="140"/>
      <c r="B35" s="261"/>
      <c r="C35" s="6"/>
      <c r="D35" s="6"/>
      <c r="E35" s="6"/>
      <c r="F35" s="6"/>
      <c r="G35" s="6"/>
      <c r="H35" s="6"/>
    </row>
    <row r="36" spans="1:8" ht="39.75" customHeight="1" x14ac:dyDescent="0.2">
      <c r="A36" s="140"/>
      <c r="B36" s="261"/>
      <c r="C36" s="6"/>
      <c r="D36" s="6"/>
      <c r="E36" s="6"/>
      <c r="F36" s="6"/>
      <c r="G36" s="6"/>
      <c r="H36" s="6"/>
    </row>
    <row r="37" spans="1:8" x14ac:dyDescent="0.2">
      <c r="A37" s="140"/>
      <c r="B37" s="142" t="s">
        <v>234</v>
      </c>
      <c r="C37" s="143">
        <f>IFERROR(1/(PRODUT_AREA_FACHADA_ENVID*RELACAO_SERVENTES_ENCARREGADOS),0)</f>
        <v>0</v>
      </c>
      <c r="D37" s="156">
        <f>FREQ_FACHADA_ENVID</f>
        <v>16</v>
      </c>
      <c r="E37" s="157">
        <f>1/((DIAS_NO_MES/DIAS_NA_SEMANA)*CARGA_HORARIA_SEMANAL*MESES_NO_SEMESTRE)</f>
        <v>8.8383838383838389E-4</v>
      </c>
      <c r="F37" s="157">
        <f>IFERROR((1/(PRODUT_AREA_FACHADA_ENVID*RELACAO_SERVENTES_ENCARREGADOS)*FREQ_FACHADA_ENVID*JORNADA_MES_FACHADA_ENVID_ENC),0)</f>
        <v>0</v>
      </c>
      <c r="G37" s="144">
        <f>ENCARREGADOS!VALOR_TOTAL_ENC</f>
        <v>0</v>
      </c>
      <c r="H37" s="160">
        <f>COEF_KI_FACHADA_ENVID_ENC*ENCARREGADOS!VALOR_TOTAL_ENC</f>
        <v>0</v>
      </c>
    </row>
    <row r="38" spans="1:8" x14ac:dyDescent="0.2">
      <c r="A38" s="140"/>
      <c r="B38" s="142" t="s">
        <v>235</v>
      </c>
      <c r="C38" s="146">
        <f>IFERROR(1/PRODUT_AREA_FACHADA_ENVID,0)</f>
        <v>7.6923076923076927E-3</v>
      </c>
      <c r="D38" s="158">
        <f>FREQ_FACHADA_ENVID</f>
        <v>16</v>
      </c>
      <c r="E38" s="159">
        <f>1/((DIAS_NO_MES/DIAS_NA_SEMANA)*CARGA_HORARIA_SEMANAL*MESES_NO_SEMESTRE)</f>
        <v>8.8383838383838389E-4</v>
      </c>
      <c r="F38" s="159">
        <f>IFERROR((1/PRODUT_AREA_FACHADA_ENVID)*FREQ_FACHADA_ENVID*JORNADA_MES_FACHADA_ENVID_SERV,0)</f>
        <v>1.0878010878010879E-4</v>
      </c>
      <c r="G38" s="147">
        <f>VALOR_TOTAL_SERV</f>
        <v>4636.4181734621161</v>
      </c>
      <c r="H38" s="161">
        <f>COEF_KI_FACHADA_ENVID_SERV*VALOR_TOTAL_SERV</f>
        <v>0.50435007325928227</v>
      </c>
    </row>
    <row r="39" spans="1:8" x14ac:dyDescent="0.2">
      <c r="A39" s="140"/>
      <c r="B39" s="230" t="s">
        <v>248</v>
      </c>
      <c r="C39" s="230"/>
      <c r="D39" s="230"/>
      <c r="E39" s="230"/>
      <c r="F39" s="230"/>
      <c r="G39" s="230"/>
      <c r="H39" s="150">
        <f>H37+H38</f>
        <v>0.50435007325928227</v>
      </c>
    </row>
    <row r="40" spans="1:8" ht="9" customHeight="1" x14ac:dyDescent="0.2">
      <c r="B40" s="151"/>
      <c r="C40" s="152"/>
      <c r="D40" s="152"/>
      <c r="E40" s="152"/>
      <c r="F40" s="155"/>
      <c r="G40" s="129"/>
    </row>
    <row r="41" spans="1:8" s="154" customFormat="1" ht="33" customHeight="1" x14ac:dyDescent="0.2">
      <c r="B41" s="260" t="s">
        <v>249</v>
      </c>
      <c r="C41" s="260"/>
      <c r="D41" s="260"/>
      <c r="E41" s="260"/>
      <c r="F41" s="260"/>
      <c r="G41" s="260"/>
      <c r="H41" s="260"/>
    </row>
    <row r="42" spans="1:8" ht="15" customHeight="1" x14ac:dyDescent="0.2">
      <c r="A42" s="140"/>
      <c r="B42" s="261" t="s">
        <v>230</v>
      </c>
      <c r="C42" s="6" t="s">
        <v>231</v>
      </c>
      <c r="D42" s="6" t="s">
        <v>232</v>
      </c>
      <c r="E42" s="6" t="s">
        <v>233</v>
      </c>
      <c r="F42" s="141"/>
      <c r="G42" s="129"/>
    </row>
    <row r="43" spans="1:8" ht="14.25" x14ac:dyDescent="0.2">
      <c r="A43" s="140"/>
      <c r="B43" s="261"/>
      <c r="C43" s="6"/>
      <c r="D43" s="6"/>
      <c r="E43" s="6"/>
      <c r="F43" s="141"/>
    </row>
    <row r="44" spans="1:8" x14ac:dyDescent="0.2">
      <c r="A44" s="140"/>
      <c r="B44" s="142" t="s">
        <v>234</v>
      </c>
      <c r="C44" s="143">
        <f>IFERROR(1/(PRODUT_AREA_HOSPITALAR*RELACAO_SERVENTES_ENCARREGADOS),0)</f>
        <v>0</v>
      </c>
      <c r="D44" s="144">
        <f>ENCARREGADOS!VALOR_TOTAL_ENC</f>
        <v>0</v>
      </c>
      <c r="E44" s="144">
        <f>IFERROR((1/(PRODUT_AREA_HOSPITALAR*RELACAO_SERVENTES_ENCARREGADOS))*ENCARREGADOS!VALOR_TOTAL_ENC,0)</f>
        <v>0</v>
      </c>
      <c r="F44" s="141"/>
    </row>
    <row r="45" spans="1:8" x14ac:dyDescent="0.2">
      <c r="A45" s="140"/>
      <c r="B45" s="142" t="s">
        <v>235</v>
      </c>
      <c r="C45" s="146">
        <f>IFERROR(1/PRODUT_AREA_HOSPITALAR,0)</f>
        <v>0</v>
      </c>
      <c r="D45" s="147">
        <f>VALOR_TOTAL_SERV_HOSP</f>
        <v>2548.3630503652157</v>
      </c>
      <c r="E45" s="147">
        <f>IFERROR(1/PRODUT_AREA_HOSPITALAR*VALOR_TOTAL_SERV_HOSP,0)</f>
        <v>0</v>
      </c>
      <c r="F45" s="141"/>
      <c r="G45" s="141"/>
      <c r="H45" s="141"/>
    </row>
    <row r="46" spans="1:8" x14ac:dyDescent="0.2">
      <c r="A46" s="140"/>
      <c r="B46" s="149" t="s">
        <v>250</v>
      </c>
      <c r="C46" s="149"/>
      <c r="D46" s="149"/>
      <c r="E46" s="150">
        <f>E44+E45</f>
        <v>0</v>
      </c>
      <c r="F46" s="141"/>
      <c r="G46" s="141"/>
      <c r="H46" s="141"/>
    </row>
    <row r="47" spans="1:8" ht="12.75" customHeight="1" x14ac:dyDescent="0.2">
      <c r="A47" s="140"/>
      <c r="C47" s="162"/>
      <c r="D47" s="162"/>
      <c r="E47" s="162"/>
      <c r="F47" s="162"/>
      <c r="G47" s="162"/>
    </row>
    <row r="48" spans="1:8" s="154" customFormat="1" ht="13.5" customHeight="1" x14ac:dyDescent="0.2">
      <c r="B48" s="262" t="s">
        <v>251</v>
      </c>
      <c r="C48" s="262"/>
      <c r="D48" s="262"/>
      <c r="E48" s="262"/>
      <c r="F48" s="163"/>
      <c r="G48" s="164"/>
    </row>
    <row r="49" spans="2:8" ht="13.5" customHeight="1" x14ac:dyDescent="0.2">
      <c r="B49" s="165"/>
      <c r="C49" s="165"/>
      <c r="D49" s="165"/>
      <c r="E49" s="165"/>
      <c r="F49" s="162"/>
      <c r="H49" s="134"/>
    </row>
    <row r="50" spans="2:8" s="134" customFormat="1" ht="14.25" customHeight="1" x14ac:dyDescent="0.2">
      <c r="B50" s="6" t="s">
        <v>252</v>
      </c>
      <c r="C50" s="6" t="s">
        <v>253</v>
      </c>
      <c r="D50" s="6" t="s">
        <v>254</v>
      </c>
      <c r="E50" s="6"/>
      <c r="F50" s="6"/>
      <c r="G50" s="6" t="s">
        <v>255</v>
      </c>
    </row>
    <row r="51" spans="2:8" s="134" customFormat="1" ht="18" customHeight="1" x14ac:dyDescent="0.2">
      <c r="B51" s="6"/>
      <c r="C51" s="6"/>
      <c r="D51" s="6"/>
      <c r="E51" s="6"/>
      <c r="F51" s="6"/>
      <c r="G51" s="6"/>
    </row>
    <row r="52" spans="2:8" s="134" customFormat="1" ht="33" x14ac:dyDescent="0.2">
      <c r="B52" s="6"/>
      <c r="C52" s="22" t="s">
        <v>26</v>
      </c>
      <c r="D52" s="22" t="s">
        <v>234</v>
      </c>
      <c r="E52" s="22" t="s">
        <v>235</v>
      </c>
      <c r="F52" s="22" t="s">
        <v>256</v>
      </c>
      <c r="G52" s="22" t="s">
        <v>257</v>
      </c>
    </row>
    <row r="53" spans="2:8" s="134" customFormat="1" x14ac:dyDescent="0.2">
      <c r="B53" s="142" t="s">
        <v>28</v>
      </c>
      <c r="C53" s="166">
        <f>AREA_INTERNA_TOTAL</f>
        <v>2167.71</v>
      </c>
      <c r="D53" s="167">
        <f>CUSTO_M2_AREA_INTERNA_ENC</f>
        <v>0</v>
      </c>
      <c r="E53" s="167">
        <f>CUSTO_M2_AREA_INTERNA_SERV</f>
        <v>5.7955227168276453</v>
      </c>
      <c r="F53" s="167">
        <f>CUSTO_M2_AREA_INTERNA</f>
        <v>5.7955227168276453</v>
      </c>
      <c r="G53" s="160">
        <f>AREA_INTERNA_TOTAL*CUSTO_M2_AREA_INTERNA</f>
        <v>12563.012548494455</v>
      </c>
    </row>
    <row r="54" spans="2:8" s="134" customFormat="1" x14ac:dyDescent="0.2">
      <c r="B54" s="142" t="s">
        <v>30</v>
      </c>
      <c r="C54" s="168">
        <f>AREA_EXTERNA_TOTAL</f>
        <v>985</v>
      </c>
      <c r="D54" s="95">
        <f>CUSTO_M2_AREA_EXTERNA_ENC</f>
        <v>0</v>
      </c>
      <c r="E54" s="95">
        <f>CUSTO_M2_AREA_EXTERNA_SERV</f>
        <v>2.5757878741456199</v>
      </c>
      <c r="F54" s="95">
        <f>CUSTO_M2_AREA_EXTERNA</f>
        <v>2.5757878741456199</v>
      </c>
      <c r="G54" s="161">
        <f>AREA_EXTERNA_TOTAL*CUSTO_M2_AREA_EXTERNA</f>
        <v>2537.1510560334355</v>
      </c>
    </row>
    <row r="55" spans="2:8" s="134" customFormat="1" x14ac:dyDescent="0.2">
      <c r="B55" s="142" t="s">
        <v>33</v>
      </c>
      <c r="C55" s="166">
        <f>AREA_ESQ_EXTERNA_TOTAL</f>
        <v>381.1</v>
      </c>
      <c r="D55" s="167">
        <f>CUSTO_M2_ESQ_EXTERNA_ENC</f>
        <v>0</v>
      </c>
      <c r="E55" s="167">
        <f>CUSTO_M2_ESQ_EXTERNA_SERV</f>
        <v>1.311310190474134</v>
      </c>
      <c r="F55" s="167">
        <f>CUSTO_M2_ESQ_EXTERNA</f>
        <v>1.311310190474134</v>
      </c>
      <c r="G55" s="160">
        <f>AREA_ESQ_EXTERNA_TOTAL*CUSTO_M2_ESQ_EXTERNA</f>
        <v>499.74031358969251</v>
      </c>
    </row>
    <row r="56" spans="2:8" s="134" customFormat="1" x14ac:dyDescent="0.2">
      <c r="B56" s="142" t="s">
        <v>37</v>
      </c>
      <c r="C56" s="168">
        <f>AREA_FACHADA_ENVID_TOTAL</f>
        <v>160.16999999999999</v>
      </c>
      <c r="D56" s="95">
        <f>CUSTO_M2_FACHADA_ENVID_ENC</f>
        <v>0</v>
      </c>
      <c r="E56" s="95">
        <f>CUSTO_M2_FACHADA_ENVID_SERV</f>
        <v>0.50435007325928227</v>
      </c>
      <c r="F56" s="95">
        <f>CUSTO_M2_FACHADA_ENVID</f>
        <v>0.50435007325928227</v>
      </c>
      <c r="G56" s="161">
        <f>AREA_FACHADA_ENVID_TOTAL*CUSTO_M2_FACHADA_ENVID</f>
        <v>80.781751233939232</v>
      </c>
    </row>
    <row r="57" spans="2:8" s="134" customFormat="1" x14ac:dyDescent="0.2">
      <c r="B57" s="142" t="s">
        <v>41</v>
      </c>
      <c r="C57" s="166">
        <f>AREA_MED_HOSP_TOTAL</f>
        <v>0</v>
      </c>
      <c r="D57" s="167">
        <f>CUSTO_M2_AREA_HOSPITALAR_ENC</f>
        <v>0</v>
      </c>
      <c r="E57" s="167">
        <f>CUSTO_M2_AREA_HOSPITALAR_SERV</f>
        <v>0</v>
      </c>
      <c r="F57" s="167">
        <f>CUSTO_M2_AREA_MED_HOSP</f>
        <v>0</v>
      </c>
      <c r="G57" s="160">
        <f>AREA_MED_HOSP_TOTAL*CUSTO_M2_AREA_MED_HOSP</f>
        <v>0</v>
      </c>
    </row>
    <row r="58" spans="2:8" s="134" customFormat="1" x14ac:dyDescent="0.2">
      <c r="B58" s="263" t="s">
        <v>251</v>
      </c>
      <c r="C58" s="263"/>
      <c r="D58" s="263"/>
      <c r="E58" s="263"/>
      <c r="F58" s="263"/>
      <c r="G58" s="169">
        <f>SUM(G53:G57)</f>
        <v>15680.685669351522</v>
      </c>
    </row>
    <row r="60" spans="2:8" ht="13.5" customHeight="1" x14ac:dyDescent="0.2"/>
    <row r="61" spans="2:8" ht="13.5" customHeight="1" x14ac:dyDescent="0.2"/>
    <row r="62" spans="2:8" ht="14.25" customHeight="1" x14ac:dyDescent="0.2"/>
    <row r="66" ht="36" customHeight="1" x14ac:dyDescent="0.2"/>
    <row r="68" ht="49.5" customHeight="1" x14ac:dyDescent="0.2"/>
  </sheetData>
  <sheetProtection sheet="1" objects="1" scenarios="1"/>
  <mergeCells count="44">
    <mergeCell ref="B58:F58"/>
    <mergeCell ref="B48:E48"/>
    <mergeCell ref="B50:B52"/>
    <mergeCell ref="C50:C51"/>
    <mergeCell ref="D50:F51"/>
    <mergeCell ref="G50:G51"/>
    <mergeCell ref="B39:G39"/>
    <mergeCell ref="B41:H41"/>
    <mergeCell ref="B42:B43"/>
    <mergeCell ref="C42:C43"/>
    <mergeCell ref="D42:D43"/>
    <mergeCell ref="E42:E43"/>
    <mergeCell ref="B31:G31"/>
    <mergeCell ref="B33:H33"/>
    <mergeCell ref="B34:B36"/>
    <mergeCell ref="C34:C36"/>
    <mergeCell ref="D34:D36"/>
    <mergeCell ref="E34:E36"/>
    <mergeCell ref="F34:F36"/>
    <mergeCell ref="G34:G36"/>
    <mergeCell ref="H34:H36"/>
    <mergeCell ref="B24:H25"/>
    <mergeCell ref="B26:B28"/>
    <mergeCell ref="C26:C28"/>
    <mergeCell ref="D26:D28"/>
    <mergeCell ref="E26:E28"/>
    <mergeCell ref="F26:F28"/>
    <mergeCell ref="G26:G28"/>
    <mergeCell ref="H26:H28"/>
    <mergeCell ref="B16:H17"/>
    <mergeCell ref="B18:B19"/>
    <mergeCell ref="C18:C19"/>
    <mergeCell ref="D18:D19"/>
    <mergeCell ref="E18:E19"/>
    <mergeCell ref="B8:H9"/>
    <mergeCell ref="B10:B11"/>
    <mergeCell ref="C10:C11"/>
    <mergeCell ref="D10:D11"/>
    <mergeCell ref="E10:E11"/>
    <mergeCell ref="B1:H1"/>
    <mergeCell ref="B2:F2"/>
    <mergeCell ref="B4:H4"/>
    <mergeCell ref="B5:H5"/>
    <mergeCell ref="B7:H7"/>
  </mergeCells>
  <pageMargins left="0.51180555555555496" right="0.51180555555555496" top="0.78749999999999998" bottom="0.78749999999999998" header="0.51180555555555496" footer="0.51180555555555496"/>
  <pageSetup paperSize="9" scale="70"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2"/>
  <sheetViews>
    <sheetView topLeftCell="A21" zoomScale="90" zoomScaleNormal="90" workbookViewId="0">
      <selection activeCell="K25" sqref="K25"/>
    </sheetView>
  </sheetViews>
  <sheetFormatPr defaultRowHeight="14.25" x14ac:dyDescent="0.25"/>
  <cols>
    <col min="1" max="1" width="1.7109375" style="170" customWidth="1"/>
    <col min="2" max="2" width="6" style="170" customWidth="1"/>
    <col min="3" max="3" width="33.85546875" style="170" customWidth="1"/>
    <col min="4" max="4" width="20.85546875" style="170" customWidth="1"/>
    <col min="5" max="5" width="19.28515625" style="170" customWidth="1"/>
    <col min="6" max="6" width="18.5703125" style="170" customWidth="1"/>
    <col min="7" max="7" width="17.7109375" style="170" customWidth="1"/>
    <col min="8" max="8" width="21.7109375" style="170" customWidth="1"/>
    <col min="9" max="1025" width="9.140625" style="170" customWidth="1"/>
  </cols>
  <sheetData>
    <row r="1" spans="2:7" s="15" customFormat="1" ht="20.25" customHeight="1" x14ac:dyDescent="0.35">
      <c r="B1" s="243" t="str">
        <f>RAMO</f>
        <v>RAMO: MINISTÉRIO PÚBLICO FEDERAL</v>
      </c>
      <c r="C1" s="243"/>
      <c r="D1" s="243"/>
      <c r="E1" s="243"/>
      <c r="F1" s="243"/>
    </row>
    <row r="2" spans="2:7" s="15" customFormat="1" ht="20.25" x14ac:dyDescent="0.35">
      <c r="B2" s="244" t="str">
        <f>UG</f>
        <v>UNIDADE GESTORA (SIGLA): PR/AP</v>
      </c>
      <c r="C2" s="244"/>
      <c r="D2" s="244"/>
      <c r="E2" s="99" t="s">
        <v>3</v>
      </c>
      <c r="F2" s="100">
        <f>IF(DATA_DO_ORCAMENTO_ESTIMATIVO="","",DATA_DO_ORCAMENTO_ESTIMATIVO)</f>
        <v>43921</v>
      </c>
    </row>
    <row r="3" spans="2:7" s="15" customFormat="1" ht="16.5" customHeight="1" x14ac:dyDescent="0.3">
      <c r="B3" s="18"/>
      <c r="C3" s="18"/>
      <c r="D3" s="18"/>
      <c r="E3" s="18"/>
      <c r="F3" s="18"/>
    </row>
    <row r="4" spans="2:7" s="15" customFormat="1" ht="20.25" x14ac:dyDescent="0.3">
      <c r="B4" s="264" t="s">
        <v>258</v>
      </c>
      <c r="C4" s="264"/>
      <c r="D4" s="264"/>
      <c r="E4" s="264"/>
      <c r="F4" s="264"/>
      <c r="G4" s="264"/>
    </row>
    <row r="5" spans="2:7" s="15" customFormat="1" ht="66" x14ac:dyDescent="0.3">
      <c r="B5" s="33" t="s">
        <v>259</v>
      </c>
      <c r="C5" s="33" t="s">
        <v>51</v>
      </c>
      <c r="D5" s="22" t="s">
        <v>260</v>
      </c>
      <c r="E5" s="22" t="s">
        <v>261</v>
      </c>
      <c r="F5" s="22" t="s">
        <v>262</v>
      </c>
      <c r="G5" s="22" t="s">
        <v>263</v>
      </c>
    </row>
    <row r="6" spans="2:7" s="15" customFormat="1" ht="16.5" x14ac:dyDescent="0.3">
      <c r="B6" s="33" t="s">
        <v>264</v>
      </c>
      <c r="C6" s="171" t="str">
        <f>ENCARREGADO_DE_LIMPEZA</f>
        <v>Encarregado de Limpeza</v>
      </c>
      <c r="D6" s="172" t="str">
        <f>IF(LOCAL_DE_EXECUCAO="","",LOCAL_DE_EXECUCAO)</f>
        <v>Sede e Anexo</v>
      </c>
      <c r="E6" s="172" t="str">
        <f>IF(QTDE_DE_ENC&lt;1,"",QTDE_DE_ENC)</f>
        <v/>
      </c>
      <c r="F6" s="173" t="str">
        <f>IF(QTDE_DE_ENC&lt;1,"",ENCARREGADOS!VALOR_TOTAL_ENC)</f>
        <v/>
      </c>
      <c r="G6" s="174" t="str">
        <f>IF(QTDE_DE_ENC&lt;1,"",QTDE_DE_ENC*ENCARREGADOS!VALOR_TOTAL_ENC)</f>
        <v/>
      </c>
    </row>
    <row r="7" spans="2:7" s="15" customFormat="1" ht="16.5" x14ac:dyDescent="0.3">
      <c r="B7" s="22" t="s">
        <v>265</v>
      </c>
      <c r="C7" s="175" t="str">
        <f>SERVENTE</f>
        <v>Servente</v>
      </c>
      <c r="D7" s="176" t="str">
        <f>IF(LOCAL_DE_EXECUCAO="","",LOCAL_DE_EXECUCAO)</f>
        <v>Sede e Anexo</v>
      </c>
      <c r="E7" s="176">
        <f>IF(QTDE_DE_SERV="","",QTDE_DE_SERV)</f>
        <v>3</v>
      </c>
      <c r="F7" s="177">
        <f>IF(QTDE_DE_SERV="","",VALOR_TOTAL_SERV)</f>
        <v>4636.4181734621161</v>
      </c>
      <c r="G7" s="111">
        <f>IF(QTDE_DE_SERV&lt;1,"",QTDE_DE_SERV*VALOR_TOTAL_SERV)</f>
        <v>13909.254520386348</v>
      </c>
    </row>
    <row r="8" spans="2:7" s="15" customFormat="1" ht="16.5" x14ac:dyDescent="0.3">
      <c r="B8" s="22" t="s">
        <v>266</v>
      </c>
      <c r="C8" s="171" t="str">
        <f>SERVENTE_AREA_HOSPITALAR</f>
        <v>Servente - Área Médico Hospitalar</v>
      </c>
      <c r="D8" s="172" t="str">
        <f>IF(LOCAL_DE_EXECUCAO="","",LOCAL_DE_EXECUCAO)</f>
        <v>Sede e Anexo</v>
      </c>
      <c r="E8" s="172" t="str">
        <f>IF(QTDE_DE_SERV_HOSP&lt;1,"",QTDE_DE_SERV_HOSP)</f>
        <v/>
      </c>
      <c r="F8" s="173" t="str">
        <f>IF(QTDE_DE_SERV_HOSP&lt;1,"",VALOR_TOTAL_SERV_HOSP)</f>
        <v/>
      </c>
      <c r="G8" s="174" t="str">
        <f>IF(QTDE_DE_SERV_HOSP&lt;1,"",QTDE_DE_SERV_HOSP*VALOR_TOTAL_SERV_HOSP)</f>
        <v/>
      </c>
    </row>
    <row r="9" spans="2:7" s="15" customFormat="1" ht="16.5" customHeight="1" x14ac:dyDescent="0.3">
      <c r="B9" s="226" t="s">
        <v>267</v>
      </c>
      <c r="C9" s="226"/>
      <c r="D9" s="226"/>
      <c r="E9" s="178">
        <f>IF(QTDE_DE_SERV="","",SUM(E6:E8))</f>
        <v>3</v>
      </c>
      <c r="F9" s="179"/>
      <c r="G9" s="112">
        <f>IF(QTDE_DE_SERV&lt;1,"",SUM(G6:G8))</f>
        <v>13909.254520386348</v>
      </c>
    </row>
    <row r="11" spans="2:7" s="15" customFormat="1" ht="20.25" x14ac:dyDescent="0.3">
      <c r="B11" s="180" t="s">
        <v>268</v>
      </c>
      <c r="C11" s="180"/>
      <c r="D11" s="180"/>
      <c r="E11" s="180"/>
      <c r="F11" s="180"/>
    </row>
    <row r="12" spans="2:7" ht="49.5" customHeight="1" x14ac:dyDescent="0.25">
      <c r="B12" s="261" t="s">
        <v>269</v>
      </c>
      <c r="C12" s="261"/>
      <c r="D12" s="22" t="str">
        <f>ENCARREGADO_DE_LIMPEZA</f>
        <v>Encarregado de Limpeza</v>
      </c>
      <c r="E12" s="22" t="str">
        <f>SERVENTE</f>
        <v>Servente</v>
      </c>
      <c r="F12" s="22" t="str">
        <f>SERVENTE_AREA_HOSPITALAR</f>
        <v>Servente - Área Médico Hospitalar</v>
      </c>
    </row>
    <row r="13" spans="2:7" ht="16.5" customHeight="1" x14ac:dyDescent="0.3">
      <c r="B13" s="265" t="s">
        <v>270</v>
      </c>
      <c r="C13" s="265"/>
      <c r="D13" s="181" t="str">
        <f>IF(QTDE_DE_ENC&lt;1,"",ENCARREGADOS!SUBMOD_2_1_DEC_TERC_ADIC_FERIAS_ENC+ENCARREGADOS!SUBMOD_2_2_GPS_FGTS_ENC+ENCARREGADOS!MOD_3_PROVISAO_RESCISAO_ENC+ENCARREGADOS!SUBMOD_4_1_SUBSTITUTO_ENC)</f>
        <v/>
      </c>
      <c r="E13" s="181">
        <f>IF(QTDE_DE_SERV="","",SERVENTES!SUBMOD_2_1_DEC_TERC_ADIC_FERIAS_SERV+SERVENTES!SUBMOD_2_2_GPS_FGTS_SERV+SERVENTES!MOD_3_PROVISAO_RESCISAO_SERV+SERVENTES!SUBMOD_4_1_SUBSTITUTO_SERV)</f>
        <v>828.19921102389549</v>
      </c>
      <c r="F13" s="181" t="str">
        <f>IF(QTDE_DE_SERV_HOSP&lt;1,"",'SERVENTES-AREA-HOSP'!SUBMOD_2_1_DEC_TERC_ADIC_FERIAS_SERV_HOSP+'SERVENTES-AREA-HOSP'!SUBMOD_2_2_GPS_FGTS_SERV_HOSP+'SERVENTES-AREA-HOSP'!MOD_3_PROVISAO_RESCISAO_SERV_HOSP+'SERVENTES-AREA-HOSP'!F70)</f>
        <v/>
      </c>
      <c r="G13" s="15"/>
    </row>
    <row r="14" spans="2:7" ht="16.5" customHeight="1" x14ac:dyDescent="0.3">
      <c r="B14" s="1" t="s">
        <v>271</v>
      </c>
      <c r="C14" s="1"/>
      <c r="D14" s="182" t="str">
        <f>IF(QTDE_DE_ENC&lt;1,"",ENCARREGADOS!MOD_1_REMUNERACAO_ENC)</f>
        <v/>
      </c>
      <c r="E14" s="182">
        <f>IF(QTDE_DE_SERV="","",SERVENTES!MOD_1_REMUNERACAO_SERV)</f>
        <v>1050.25</v>
      </c>
      <c r="F14" s="182" t="str">
        <f>IF(QTDE_DE_SERV_HOSP&lt;1,"",'SERVENTES-AREA-HOSP'!MOD_1_REMUNERACAO_SERV_HOSP)</f>
        <v/>
      </c>
      <c r="G14" s="15"/>
    </row>
    <row r="15" spans="2:7" ht="16.5" customHeight="1" x14ac:dyDescent="0.25">
      <c r="B15" s="240" t="s">
        <v>272</v>
      </c>
      <c r="C15" s="240"/>
      <c r="D15" s="183" t="str">
        <f>IF(QTDE_DE_ENC&lt;1,"",IFERROR(D13/D14,0))</f>
        <v/>
      </c>
      <c r="E15" s="183">
        <f>IF(QTDE_DE_SERV="","",IFERROR(E13/E14,0))</f>
        <v>0.78857339778518976</v>
      </c>
      <c r="F15" s="183" t="str">
        <f>IF(QTDE_DE_SERV_HOSP&lt;1,"",IFERROR(F13/F14,0))</f>
        <v/>
      </c>
    </row>
    <row r="16" spans="2:7" x14ac:dyDescent="0.25">
      <c r="B16" s="184" t="s">
        <v>273</v>
      </c>
      <c r="C16" s="184"/>
      <c r="D16" s="184"/>
    </row>
    <row r="17" spans="2:8" s="15" customFormat="1" ht="16.5" customHeight="1" x14ac:dyDescent="0.3">
      <c r="B17" s="266" t="s">
        <v>274</v>
      </c>
      <c r="C17" s="266"/>
      <c r="D17" s="266"/>
      <c r="E17" s="266"/>
      <c r="F17" s="266"/>
      <c r="G17" s="266"/>
      <c r="H17" s="266"/>
    </row>
    <row r="18" spans="2:8" ht="14.25" customHeight="1" x14ac:dyDescent="0.25">
      <c r="B18" s="266"/>
      <c r="C18" s="266"/>
      <c r="D18" s="266"/>
      <c r="E18" s="266"/>
      <c r="F18" s="266"/>
      <c r="G18" s="266"/>
      <c r="H18" s="266"/>
    </row>
    <row r="19" spans="2:8" s="184" customFormat="1" ht="16.5" customHeight="1" x14ac:dyDescent="0.25">
      <c r="B19" s="6" t="s">
        <v>252</v>
      </c>
      <c r="C19" s="6"/>
      <c r="D19" s="6" t="s">
        <v>275</v>
      </c>
      <c r="E19" s="6" t="s">
        <v>276</v>
      </c>
      <c r="F19" s="6"/>
      <c r="G19" s="267" t="s">
        <v>277</v>
      </c>
      <c r="H19" s="267"/>
    </row>
    <row r="20" spans="2:8" x14ac:dyDescent="0.25">
      <c r="B20" s="6"/>
      <c r="C20" s="6"/>
      <c r="D20" s="6"/>
      <c r="E20" s="6"/>
      <c r="F20" s="6"/>
      <c r="G20" s="267"/>
      <c r="H20" s="267"/>
    </row>
    <row r="21" spans="2:8" ht="16.5" customHeight="1" x14ac:dyDescent="0.25">
      <c r="B21" s="6"/>
      <c r="C21" s="6"/>
      <c r="D21" s="6"/>
      <c r="E21" s="6" t="str">
        <f>"PORTARIA Nº "&amp; PORTARIA_LIMITES</f>
        <v xml:space="preserve">PORTARIA Nº </v>
      </c>
      <c r="F21" s="6"/>
      <c r="G21" s="6" t="str">
        <f>"PORTARIA Nº "&amp; PORTARIA_LIMITES</f>
        <v xml:space="preserve">PORTARIA Nº </v>
      </c>
      <c r="H21" s="6"/>
    </row>
    <row r="22" spans="2:8" ht="33" customHeight="1" x14ac:dyDescent="0.25">
      <c r="B22" s="219" t="s">
        <v>28</v>
      </c>
      <c r="C22" s="219"/>
      <c r="D22" s="167">
        <f>IF(CUSTO_M2_AREA_INTERNA&gt;0,CUSTO_M2_AREA_INTERNA,"")</f>
        <v>5.7955227168276453</v>
      </c>
      <c r="E22" s="166">
        <f>IF(D23="","",IF(PRODUT_AREA_INTERNA=600,(SUMIF('LIMITES-SEGES-PORT-7-2015'!$A:$A,UF,'LIMITES-SEGES-PORT-7-2015'!C:C)),SUMIF('LIMITES-SEGES-PORT-213-2017'!$A:$A,UF,'LIMITES-SEGES-PORT-213-2017'!C:C)))</f>
        <v>3.73</v>
      </c>
      <c r="F22" s="183" t="str">
        <f>IF(D22="","Não se aplica",IF(AND(E22&lt;=D22,D22&gt;0),"SIM, está em conformidade.","NÃO, é inferior."))</f>
        <v>SIM, está em conformidade.</v>
      </c>
      <c r="G22" s="166">
        <f>IF(D22="","",IF(PRODUT_AREA_INTERNA=600,SUMIF('LIMITES-SEGES-PORT-7-2015'!$A:$A,UF,'LIMITES-SEGES-PORT-7-2015'!D:D),SUMIF('LIMITES-SEGES-PORT-213-2017'!$A:$A,UF,'LIMITES-SEGES-PORT-213-2017'!D:D)))</f>
        <v>4.5</v>
      </c>
      <c r="H22" s="185" t="str">
        <f>IF(D22="","Não se aplica",IF(D22&lt;=G22,"SIM, está em conformidade.","NÃO, é superior."))</f>
        <v>NÃO, é superior.</v>
      </c>
    </row>
    <row r="23" spans="2:8" ht="33" customHeight="1" x14ac:dyDescent="0.25">
      <c r="B23" s="219" t="s">
        <v>30</v>
      </c>
      <c r="C23" s="219"/>
      <c r="D23" s="95">
        <f>IF(CUSTO_M2_AREA_EXTERNA&gt;0,CUSTO_M2_AREA_EXTERNA,"")</f>
        <v>2.5757878741456199</v>
      </c>
      <c r="E23" s="168">
        <f>IF(D23="","",IF(PRODUT_AREA_EXTERNA=1200,SUMIF('LIMITES-SEGES-PORT-7-2015'!$A:$A,UF,'LIMITES-SEGES-PORT-7-2015'!E:E),SUMIF('LIMITES-SEGES-PORT-213-2017'!$A:$A,UF,'LIMITES-SEGES-PORT-213-2017'!G:G)))</f>
        <v>1.66</v>
      </c>
      <c r="F23" s="183" t="str">
        <f>IF(D23="","Não se aplica",IF(AND(E23&lt;=D23,D23&gt;0),"SIM, está em conformidade.", "NÃO, é inferior."))</f>
        <v>SIM, está em conformidade.</v>
      </c>
      <c r="G23" s="168">
        <f>IF(D23="","",IF(PRODUT_AREA_EXTERNA=1200,SUMIF('LIMITES-SEGES-PORT-7-2015'!$A:$A,UF,'LIMITES-SEGES-PORT-7-2015'!F:F),SUMIF('LIMITES-SEGES-PORT-213-2017'!$A:$A,UF,'LIMITES-SEGES-PORT-213-2017'!H:H)))</f>
        <v>2</v>
      </c>
      <c r="H23" s="185" t="str">
        <f>IF(D23="","Não se aplica",IF(D23&lt;=G23,"SIM, está em conformidade.","NÃO, é superior."))</f>
        <v>NÃO, é superior.</v>
      </c>
    </row>
    <row r="24" spans="2:8" ht="32.25" customHeight="1" x14ac:dyDescent="0.25">
      <c r="B24" s="219" t="s">
        <v>33</v>
      </c>
      <c r="C24" s="219"/>
      <c r="D24" s="167">
        <f>IF(CUSTO_M2_ESQ_EXTERNA&gt;0,CUSTO_M2_ESQ_EXTERNA,"")</f>
        <v>1.311310190474134</v>
      </c>
      <c r="E24" s="166">
        <f>IF(D24="","",IF(PRODUT_AREA_ESQ_EXTERNA=220,SUMIF('LIMITES-SEGES-PORT-7-2015'!$A:$A,UF,'LIMITES-SEGES-PORT-7-2015'!G:G),SUMIF('LIMITES-SEGES-PORT-213-2017'!$A:$A,UF,'LIMITES-SEGES-PORT-213-2017'!K:K)))</f>
        <v>0.84</v>
      </c>
      <c r="F24" s="183" t="str">
        <f>IF(D24="","Não se aplica",IF(E24&lt;=D24,"SIM, está em conformidade.","NÃO, é inferior."))</f>
        <v>SIM, está em conformidade.</v>
      </c>
      <c r="G24" s="166">
        <f>IF(D24="","",IF(PRODUT_AREA_ESQ_EXTERNA=220,SUMIF('LIMITES-SEGES-PORT-7-2015'!$A:$A,UF,'LIMITES-SEGES-PORT-7-2015'!H:H),SUMIF('LIMITES-SEGES-PORT-213-2017'!$A:$A,UF,'LIMITES-SEGES-PORT-213-2017'!L:L)))</f>
        <v>1.02</v>
      </c>
      <c r="H24" s="185" t="str">
        <f>IF(D24="","Não se aplica",IF(D24&lt;=G24,"SIM, está em conformidade.","NÃO, é superior."))</f>
        <v>NÃO, é superior.</v>
      </c>
    </row>
    <row r="25" spans="2:8" ht="32.25" customHeight="1" x14ac:dyDescent="0.25">
      <c r="B25" s="219" t="s">
        <v>37</v>
      </c>
      <c r="C25" s="219"/>
      <c r="D25" s="95">
        <f>IF(CUSTO_M2_FACHADA_ENVID&gt;0,CUSTO_M2_FACHADA_ENVID,"")</f>
        <v>0.50435007325928227</v>
      </c>
      <c r="E25" s="168">
        <f>IF(D25="","",IF(PRODUT_AREA_FACHADA_ENVID=110,SUMIF('LIMITES-SEGES-PORT-7-2015'!$A:$A,UF,'LIMITES-SEGES-PORT-7-2015'!I:I),SUMIF('LIMITES-SEGES-PORT-213-2017'!$A:$A,UF,'LIMITES-SEGES-PORT-213-2017'!O:O)))</f>
        <v>0.2</v>
      </c>
      <c r="F25" s="183" t="str">
        <f>IF(D25="","Não se aplica",IF(E25&lt;=D25,"SIM, está em conformidade.","NÃO, é inferior."))</f>
        <v>SIM, está em conformidade.</v>
      </c>
      <c r="G25" s="168">
        <f>IF(D25="","",IF(PRODUT_AREA_FACHADA_ENVID=110,SUMIF('LIMITES-SEGES-PORT-7-2015'!$A:$A,UF,'LIMITES-SEGES-PORT-7-2015'!J:J),SUMIF('LIMITES-SEGES-PORT-213-2017'!$A:$A,UF,'LIMITES-SEGES-PORT-213-2017'!P:P)))</f>
        <v>0.24</v>
      </c>
      <c r="H25" s="185" t="str">
        <f>IF(D25="","Não se aplica",IF(D25&lt;=G25,"SIM, está em conformidade.","NÃO, é superior."))</f>
        <v>NÃO, é superior.</v>
      </c>
    </row>
    <row r="27" spans="2:8" s="15" customFormat="1" ht="16.5" customHeight="1" x14ac:dyDescent="0.3">
      <c r="B27" s="268" t="s">
        <v>278</v>
      </c>
      <c r="C27" s="268"/>
      <c r="D27" s="268"/>
      <c r="E27" s="268"/>
      <c r="F27" s="268"/>
      <c r="G27" s="268"/>
      <c r="H27" s="268"/>
    </row>
    <row r="28" spans="2:8" ht="14.25" customHeight="1" x14ac:dyDescent="0.25">
      <c r="B28" s="268"/>
      <c r="C28" s="268"/>
      <c r="D28" s="268"/>
      <c r="E28" s="268"/>
      <c r="F28" s="268"/>
      <c r="G28" s="268"/>
      <c r="H28" s="268"/>
    </row>
    <row r="29" spans="2:8" ht="65.25" customHeight="1" x14ac:dyDescent="0.25">
      <c r="B29" s="33" t="s">
        <v>259</v>
      </c>
      <c r="C29" s="261" t="s">
        <v>51</v>
      </c>
      <c r="D29" s="261"/>
      <c r="E29" s="22" t="s">
        <v>279</v>
      </c>
      <c r="F29" s="22" t="s">
        <v>280</v>
      </c>
      <c r="G29" s="6" t="s">
        <v>281</v>
      </c>
      <c r="H29" s="6"/>
    </row>
    <row r="30" spans="2:8" ht="16.5" customHeight="1" x14ac:dyDescent="0.25">
      <c r="B30" s="33" t="s">
        <v>264</v>
      </c>
      <c r="C30" s="269" t="str">
        <f>ENCARREGADO_DE_LIMPEZA</f>
        <v>Encarregado de Limpeza</v>
      </c>
      <c r="D30" s="269"/>
      <c r="E30" s="174" t="str">
        <f>IF(QTDE_DE_ENC=0,"",QTDE_DE_ENC*ENCARREGADOS!VALOR_TOTAL_ENC)</f>
        <v/>
      </c>
      <c r="F30" s="173" t="str">
        <f>IF(QTDE_DE_ENC=0,"",IFERROR(AREA_INTERNA_TOTAL*CUSTO_M2_AREA_INTERNA_ENC+AREA_EXTERNA_TOTAL*CUSTO_M2_AREA_EXTERNA_ENC+AREA_ESQ_EXTERNA_TOTAL*CUSTO_M2_ESQ_EXTERNA_ENC+AREA_FACHADA_ENVID_TOTAL*CUSTO_M2_FACHADA_ENVID_ENC,""))</f>
        <v/>
      </c>
      <c r="G30" s="270" t="str">
        <f>IF(E32=0,"Não se aplica",IF(AND(E32&lt;=F32,E32&gt;0),"SIM, está em conformidade.","NÃO, é superior. Verifique se o quantitativo de serventes está em conformidade com a área a ser limpa."))</f>
        <v>SIM, está em conformidade.</v>
      </c>
      <c r="H30" s="270"/>
    </row>
    <row r="31" spans="2:8" ht="16.5" x14ac:dyDescent="0.25">
      <c r="B31" s="22" t="s">
        <v>265</v>
      </c>
      <c r="C31" s="271" t="str">
        <f>SERVENTE</f>
        <v>Servente</v>
      </c>
      <c r="D31" s="271"/>
      <c r="E31" s="111">
        <f>IF(QTDE_DE_SERV=0,"",QTDE_DE_SERV*VALOR_TOTAL_SERV)</f>
        <v>13909.254520386348</v>
      </c>
      <c r="F31" s="177">
        <f>IF(QTDE_DE_SERV=0,"",IFERROR(AREA_INTERNA_TOTAL*CUSTO_M2_AREA_INTERNA_SERV+AREA_EXTERNA_TOTAL*CUSTO_M2_AREA_EXTERNA_SERV+AREA_ESQ_EXTERNA_TOTAL*CUSTO_M2_ESQ_EXTERNA_SERV+AREA_FACHADA_ENVID_TOTAL*CUSTO_M2_FACHADA_ENVID_SERV,""))</f>
        <v>15680.685669351522</v>
      </c>
      <c r="G31" s="270"/>
      <c r="H31" s="270"/>
    </row>
    <row r="32" spans="2:8" ht="16.5" customHeight="1" x14ac:dyDescent="0.25">
      <c r="B32" s="272" t="s">
        <v>282</v>
      </c>
      <c r="C32" s="272"/>
      <c r="D32" s="272"/>
      <c r="E32" s="112">
        <f>IF(QTDE_DE_SERV=0,"",SUM(E30:E31))</f>
        <v>13909.254520386348</v>
      </c>
      <c r="F32" s="179">
        <f>IF(QTDE_DE_SERV=0,"",IFERROR(VALOR_LIMITES_AREA_INTERNA+VALOR_LIMITES_AREA_EXTERNA+VALOR_LIMITES_ESQ_EXTERNA+VALOR_LIMITES_FACHADA_ENVID,""))</f>
        <v>15680.685669351522</v>
      </c>
      <c r="G32" s="270"/>
      <c r="H32" s="270"/>
    </row>
  </sheetData>
  <sheetProtection sheet="1" objects="1" scenarios="1"/>
  <mergeCells count="26">
    <mergeCell ref="C29:D29"/>
    <mergeCell ref="G29:H29"/>
    <mergeCell ref="C30:D30"/>
    <mergeCell ref="G30:H32"/>
    <mergeCell ref="C31:D31"/>
    <mergeCell ref="B32:D32"/>
    <mergeCell ref="B22:C22"/>
    <mergeCell ref="B23:C23"/>
    <mergeCell ref="B24:C24"/>
    <mergeCell ref="B25:C25"/>
    <mergeCell ref="B27:H28"/>
    <mergeCell ref="B13:C13"/>
    <mergeCell ref="B14:C14"/>
    <mergeCell ref="B15:C15"/>
    <mergeCell ref="B17:H18"/>
    <mergeCell ref="B19:C21"/>
    <mergeCell ref="D19:D21"/>
    <mergeCell ref="E19:F20"/>
    <mergeCell ref="G19:H20"/>
    <mergeCell ref="E21:F21"/>
    <mergeCell ref="G21:H21"/>
    <mergeCell ref="B1:F1"/>
    <mergeCell ref="B2:D2"/>
    <mergeCell ref="B4:G4"/>
    <mergeCell ref="B9:D9"/>
    <mergeCell ref="B12:C12"/>
  </mergeCells>
  <pageMargins left="0.17013888888888901" right="0.17013888888888901" top="0.32986111111111099" bottom="0.17013888888888901" header="0.51180555555555496" footer="0.51180555555555496"/>
  <pageSetup paperSize="9" scale="75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zoomScale="90" zoomScaleNormal="90" workbookViewId="0">
      <selection activeCell="R31" sqref="R31"/>
    </sheetView>
  </sheetViews>
  <sheetFormatPr defaultRowHeight="16.5" x14ac:dyDescent="0.3"/>
  <cols>
    <col min="1" max="1" width="9.140625" style="186" customWidth="1"/>
    <col min="2" max="2" width="13.5703125" style="186" customWidth="1"/>
    <col min="3" max="10" width="9.7109375" style="186" customWidth="1"/>
    <col min="11" max="1025" width="9.140625" style="186" customWidth="1"/>
  </cols>
  <sheetData>
    <row r="1" spans="1:14" ht="17.25" x14ac:dyDescent="0.3">
      <c r="A1" s="187" t="s">
        <v>283</v>
      </c>
      <c r="B1" s="187"/>
      <c r="C1" s="187"/>
      <c r="D1" s="187"/>
      <c r="E1" s="187"/>
      <c r="F1" s="187"/>
      <c r="G1" s="187"/>
      <c r="H1" s="188"/>
      <c r="J1" s="189" t="s">
        <v>284</v>
      </c>
    </row>
    <row r="2" spans="1:14" ht="28.5" customHeight="1" x14ac:dyDescent="0.3">
      <c r="A2" s="273" t="s">
        <v>285</v>
      </c>
      <c r="B2" s="6" t="s">
        <v>286</v>
      </c>
      <c r="C2" s="274" t="s">
        <v>287</v>
      </c>
      <c r="D2" s="274"/>
      <c r="E2" s="274" t="s">
        <v>288</v>
      </c>
      <c r="F2" s="274"/>
      <c r="G2" s="274" t="s">
        <v>289</v>
      </c>
      <c r="H2" s="274"/>
      <c r="I2" s="274" t="s">
        <v>290</v>
      </c>
      <c r="J2" s="274"/>
    </row>
    <row r="3" spans="1:14" ht="12" customHeight="1" x14ac:dyDescent="0.3">
      <c r="A3" s="273"/>
      <c r="B3" s="6"/>
      <c r="C3" s="190">
        <v>600</v>
      </c>
      <c r="D3" s="191" t="s">
        <v>291</v>
      </c>
      <c r="E3" s="190">
        <v>1200</v>
      </c>
      <c r="F3" s="191" t="s">
        <v>291</v>
      </c>
      <c r="G3" s="190">
        <v>220</v>
      </c>
      <c r="H3" s="191" t="s">
        <v>291</v>
      </c>
      <c r="I3" s="190">
        <v>110</v>
      </c>
      <c r="J3" s="191" t="s">
        <v>291</v>
      </c>
    </row>
    <row r="4" spans="1:14" ht="33.75" customHeight="1" x14ac:dyDescent="0.3">
      <c r="A4" s="273"/>
      <c r="B4" s="6"/>
      <c r="C4" s="192" t="s">
        <v>276</v>
      </c>
      <c r="D4" s="192" t="s">
        <v>277</v>
      </c>
      <c r="E4" s="192" t="s">
        <v>276</v>
      </c>
      <c r="F4" s="192" t="s">
        <v>277</v>
      </c>
      <c r="G4" s="192" t="s">
        <v>276</v>
      </c>
      <c r="H4" s="192" t="s">
        <v>277</v>
      </c>
      <c r="I4" s="192" t="s">
        <v>276</v>
      </c>
      <c r="J4" s="192" t="s">
        <v>277</v>
      </c>
    </row>
    <row r="5" spans="1:14" x14ac:dyDescent="0.3">
      <c r="A5" s="193" t="s">
        <v>292</v>
      </c>
      <c r="B5" s="194">
        <v>42979</v>
      </c>
      <c r="C5" s="195">
        <v>4.76</v>
      </c>
      <c r="D5" s="195">
        <v>5.73</v>
      </c>
      <c r="E5" s="195">
        <v>2.38</v>
      </c>
      <c r="F5" s="195">
        <v>2.86</v>
      </c>
      <c r="G5" s="195">
        <v>1.1000000000000001</v>
      </c>
      <c r="H5" s="195">
        <v>1.32</v>
      </c>
      <c r="I5" s="195">
        <v>0.24</v>
      </c>
      <c r="J5" s="195">
        <v>0.28999999999999998</v>
      </c>
    </row>
    <row r="6" spans="1:14" x14ac:dyDescent="0.3">
      <c r="A6" s="193" t="s">
        <v>293</v>
      </c>
      <c r="B6" s="194">
        <v>43805</v>
      </c>
      <c r="C6" s="196">
        <v>5.18</v>
      </c>
      <c r="D6" s="196">
        <v>6.23</v>
      </c>
      <c r="E6" s="196">
        <v>2.59</v>
      </c>
      <c r="F6" s="196">
        <v>3.12</v>
      </c>
      <c r="G6" s="196">
        <v>1.2</v>
      </c>
      <c r="H6" s="196">
        <v>1.44</v>
      </c>
      <c r="I6" s="196">
        <v>0.25</v>
      </c>
      <c r="J6" s="196">
        <v>0.3</v>
      </c>
      <c r="N6" s="197"/>
    </row>
    <row r="7" spans="1:14" x14ac:dyDescent="0.3">
      <c r="A7" s="193" t="s">
        <v>294</v>
      </c>
      <c r="B7" s="194">
        <v>43643</v>
      </c>
      <c r="C7" s="195">
        <v>3.87</v>
      </c>
      <c r="D7" s="195">
        <v>4.66</v>
      </c>
      <c r="E7" s="195">
        <v>2.58</v>
      </c>
      <c r="F7" s="195">
        <v>3.11</v>
      </c>
      <c r="G7" s="195">
        <v>1.72</v>
      </c>
      <c r="H7" s="195">
        <v>2.0699999999999998</v>
      </c>
      <c r="I7" s="195">
        <v>1.1499999999999999</v>
      </c>
      <c r="J7" s="195">
        <v>1.38</v>
      </c>
      <c r="N7" s="198"/>
    </row>
    <row r="8" spans="1:14" x14ac:dyDescent="0.3">
      <c r="A8" s="193" t="s">
        <v>40</v>
      </c>
      <c r="B8" s="194">
        <v>43349</v>
      </c>
      <c r="C8" s="196">
        <v>4.9800000000000004</v>
      </c>
      <c r="D8" s="196">
        <v>5.99</v>
      </c>
      <c r="E8" s="196">
        <v>2.4900000000000002</v>
      </c>
      <c r="F8" s="196">
        <v>3</v>
      </c>
      <c r="G8" s="196">
        <v>1.1499999999999999</v>
      </c>
      <c r="H8" s="196">
        <v>1.39</v>
      </c>
      <c r="I8" s="196">
        <v>0.24</v>
      </c>
      <c r="J8" s="196">
        <v>0.28999999999999998</v>
      </c>
      <c r="N8" s="197"/>
    </row>
    <row r="9" spans="1:14" x14ac:dyDescent="0.3">
      <c r="A9" s="193" t="s">
        <v>295</v>
      </c>
      <c r="B9" s="194">
        <v>42899</v>
      </c>
      <c r="C9" s="195">
        <v>4.6500000000000004</v>
      </c>
      <c r="D9" s="195">
        <v>5.63</v>
      </c>
      <c r="E9" s="195">
        <v>2.3199999999999998</v>
      </c>
      <c r="F9" s="195">
        <v>2.81</v>
      </c>
      <c r="G9" s="195">
        <v>1.07</v>
      </c>
      <c r="H9" s="195">
        <v>1.3</v>
      </c>
      <c r="I9" s="195">
        <v>0.22</v>
      </c>
      <c r="J9" s="195">
        <v>0.27</v>
      </c>
      <c r="N9" s="198"/>
    </row>
    <row r="10" spans="1:14" x14ac:dyDescent="0.3">
      <c r="A10" s="193" t="s">
        <v>296</v>
      </c>
      <c r="B10" s="194">
        <v>43690</v>
      </c>
      <c r="C10" s="196">
        <v>5.71</v>
      </c>
      <c r="D10" s="196">
        <v>6.87</v>
      </c>
      <c r="E10" s="196">
        <v>2.85</v>
      </c>
      <c r="F10" s="196">
        <v>3.44</v>
      </c>
      <c r="G10" s="196">
        <v>1.32</v>
      </c>
      <c r="H10" s="196">
        <v>1.59</v>
      </c>
      <c r="I10" s="196">
        <v>0.27</v>
      </c>
      <c r="J10" s="196">
        <v>0.32</v>
      </c>
      <c r="N10" s="197"/>
    </row>
    <row r="11" spans="1:14" x14ac:dyDescent="0.3">
      <c r="A11" s="193" t="s">
        <v>297</v>
      </c>
      <c r="B11" s="194">
        <v>43593</v>
      </c>
      <c r="C11" s="195">
        <v>5.6</v>
      </c>
      <c r="D11" s="195">
        <v>6.73</v>
      </c>
      <c r="E11" s="195">
        <v>3.73</v>
      </c>
      <c r="F11" s="195">
        <v>4.4800000000000004</v>
      </c>
      <c r="G11" s="195">
        <v>2.4900000000000002</v>
      </c>
      <c r="H11" s="195">
        <v>2.99</v>
      </c>
      <c r="I11" s="195">
        <v>1.66</v>
      </c>
      <c r="J11" s="195">
        <v>1.99</v>
      </c>
      <c r="N11" s="199"/>
    </row>
    <row r="12" spans="1:14" x14ac:dyDescent="0.3">
      <c r="A12" s="193" t="s">
        <v>298</v>
      </c>
      <c r="B12" s="194">
        <v>43234</v>
      </c>
      <c r="C12" s="196">
        <v>6.06</v>
      </c>
      <c r="D12" s="196">
        <v>7.3</v>
      </c>
      <c r="E12" s="196">
        <v>3.03</v>
      </c>
      <c r="F12" s="196">
        <v>3.65</v>
      </c>
      <c r="G12" s="196">
        <v>1.4</v>
      </c>
      <c r="H12" s="196">
        <v>1.69</v>
      </c>
      <c r="I12" s="196">
        <v>0.28000000000000003</v>
      </c>
      <c r="J12" s="196">
        <v>0.34</v>
      </c>
      <c r="N12" s="200"/>
    </row>
    <row r="13" spans="1:14" x14ac:dyDescent="0.3">
      <c r="A13" s="193" t="s">
        <v>299</v>
      </c>
      <c r="B13" s="194">
        <v>43690</v>
      </c>
      <c r="C13" s="195">
        <v>5.26</v>
      </c>
      <c r="D13" s="195">
        <v>6.33</v>
      </c>
      <c r="E13" s="195">
        <v>2.63</v>
      </c>
      <c r="F13" s="195">
        <v>3.17</v>
      </c>
      <c r="G13" s="195">
        <v>1.22</v>
      </c>
      <c r="H13" s="195">
        <v>1.46</v>
      </c>
      <c r="I13" s="195">
        <v>0.41</v>
      </c>
      <c r="J13" s="195">
        <v>0.49</v>
      </c>
      <c r="N13" s="199"/>
    </row>
    <row r="14" spans="1:14" x14ac:dyDescent="0.3">
      <c r="A14" s="193" t="s">
        <v>300</v>
      </c>
      <c r="B14" s="194">
        <v>43349</v>
      </c>
      <c r="C14" s="196">
        <v>5.25</v>
      </c>
      <c r="D14" s="196">
        <v>6.32</v>
      </c>
      <c r="E14" s="196">
        <v>2.63</v>
      </c>
      <c r="F14" s="196">
        <v>3.16</v>
      </c>
      <c r="G14" s="196">
        <v>1.21</v>
      </c>
      <c r="H14" s="196">
        <v>1.46</v>
      </c>
      <c r="I14" s="196">
        <v>0.25</v>
      </c>
      <c r="J14" s="196">
        <v>0.3</v>
      </c>
      <c r="N14" s="200"/>
    </row>
    <row r="15" spans="1:14" x14ac:dyDescent="0.3">
      <c r="A15" s="193" t="s">
        <v>301</v>
      </c>
      <c r="B15" s="194">
        <v>43643</v>
      </c>
      <c r="C15" s="195">
        <v>5.85</v>
      </c>
      <c r="D15" s="195">
        <v>7.04</v>
      </c>
      <c r="E15" s="195">
        <v>2.92</v>
      </c>
      <c r="F15" s="195">
        <v>3.52</v>
      </c>
      <c r="G15" s="195">
        <v>1.35</v>
      </c>
      <c r="H15" s="195">
        <v>1.63</v>
      </c>
      <c r="I15" s="195">
        <v>0.3</v>
      </c>
      <c r="J15" s="195">
        <v>0.36</v>
      </c>
      <c r="N15" s="199"/>
    </row>
    <row r="16" spans="1:14" x14ac:dyDescent="0.3">
      <c r="A16" s="193" t="s">
        <v>302</v>
      </c>
      <c r="B16" s="194">
        <v>43643</v>
      </c>
      <c r="C16" s="196">
        <v>4.92</v>
      </c>
      <c r="D16" s="196">
        <v>5.92</v>
      </c>
      <c r="E16" s="196">
        <v>2.46</v>
      </c>
      <c r="F16" s="196">
        <v>2.96</v>
      </c>
      <c r="G16" s="196">
        <v>1.1399999999999999</v>
      </c>
      <c r="H16" s="196">
        <v>1.37</v>
      </c>
      <c r="I16" s="196">
        <v>0.24</v>
      </c>
      <c r="J16" s="196">
        <v>0.28999999999999998</v>
      </c>
      <c r="N16" s="200"/>
    </row>
    <row r="17" spans="1:15" x14ac:dyDescent="0.3">
      <c r="A17" s="193" t="s">
        <v>303</v>
      </c>
      <c r="B17" s="194">
        <v>43805</v>
      </c>
      <c r="C17" s="195">
        <v>5.82</v>
      </c>
      <c r="D17" s="195">
        <v>7.01</v>
      </c>
      <c r="E17" s="195">
        <v>2.91</v>
      </c>
      <c r="F17" s="195">
        <v>3.5</v>
      </c>
      <c r="G17" s="195">
        <v>1.34</v>
      </c>
      <c r="H17" s="195">
        <v>1.62</v>
      </c>
      <c r="I17" s="195">
        <v>0.31</v>
      </c>
      <c r="J17" s="195">
        <v>0.37</v>
      </c>
      <c r="N17" s="199"/>
      <c r="O17" s="197"/>
    </row>
    <row r="18" spans="1:15" x14ac:dyDescent="0.3">
      <c r="A18" s="193" t="s">
        <v>304</v>
      </c>
      <c r="B18" s="194">
        <v>43690</v>
      </c>
      <c r="C18" s="196">
        <v>5.59</v>
      </c>
      <c r="D18" s="196">
        <v>6.72</v>
      </c>
      <c r="E18" s="196">
        <v>2.79</v>
      </c>
      <c r="F18" s="196">
        <v>3.36</v>
      </c>
      <c r="G18" s="196">
        <v>1.29</v>
      </c>
      <c r="H18" s="196">
        <v>1.55</v>
      </c>
      <c r="I18" s="196">
        <v>0.27</v>
      </c>
      <c r="J18" s="196">
        <v>0.33</v>
      </c>
      <c r="N18" s="200"/>
      <c r="O18" s="198"/>
    </row>
    <row r="19" spans="1:15" x14ac:dyDescent="0.3">
      <c r="A19" s="193" t="s">
        <v>305</v>
      </c>
      <c r="B19" s="194">
        <v>43761</v>
      </c>
      <c r="C19" s="195">
        <v>4.9800000000000004</v>
      </c>
      <c r="D19" s="195">
        <v>6</v>
      </c>
      <c r="E19" s="195">
        <v>2.4900000000000002</v>
      </c>
      <c r="F19" s="195">
        <v>3</v>
      </c>
      <c r="G19" s="195">
        <v>1.1499999999999999</v>
      </c>
      <c r="H19" s="195">
        <v>1.39</v>
      </c>
      <c r="I19" s="195">
        <v>0.24</v>
      </c>
      <c r="J19" s="195">
        <v>0.28999999999999998</v>
      </c>
      <c r="O19" s="197"/>
    </row>
    <row r="20" spans="1:15" x14ac:dyDescent="0.3">
      <c r="A20" s="193" t="s">
        <v>306</v>
      </c>
      <c r="B20" s="194">
        <v>43287</v>
      </c>
      <c r="C20" s="196">
        <v>4.93</v>
      </c>
      <c r="D20" s="196">
        <v>5.94</v>
      </c>
      <c r="E20" s="196">
        <v>2.4700000000000002</v>
      </c>
      <c r="F20" s="196">
        <v>2.97</v>
      </c>
      <c r="G20" s="196">
        <v>1.1399999999999999</v>
      </c>
      <c r="H20" s="196">
        <v>1.37</v>
      </c>
      <c r="I20" s="196">
        <v>0.24</v>
      </c>
      <c r="J20" s="196">
        <v>0.28000000000000003</v>
      </c>
      <c r="O20" s="198"/>
    </row>
    <row r="21" spans="1:15" x14ac:dyDescent="0.3">
      <c r="A21" s="193" t="s">
        <v>307</v>
      </c>
      <c r="B21" s="194">
        <v>43805</v>
      </c>
      <c r="C21" s="195">
        <v>5.23</v>
      </c>
      <c r="D21" s="195">
        <v>6.29</v>
      </c>
      <c r="E21" s="195">
        <v>2.61</v>
      </c>
      <c r="F21" s="195">
        <v>3.15</v>
      </c>
      <c r="G21" s="195">
        <v>1.21</v>
      </c>
      <c r="H21" s="195">
        <v>1.46</v>
      </c>
      <c r="I21" s="195">
        <v>0.28000000000000003</v>
      </c>
      <c r="J21" s="195">
        <v>0.34</v>
      </c>
      <c r="O21" s="197"/>
    </row>
    <row r="22" spans="1:15" x14ac:dyDescent="0.3">
      <c r="A22" s="193" t="s">
        <v>308</v>
      </c>
      <c r="B22" s="194">
        <v>43234</v>
      </c>
      <c r="C22" s="196">
        <v>5.81</v>
      </c>
      <c r="D22" s="196">
        <v>7</v>
      </c>
      <c r="E22" s="196">
        <v>2.91</v>
      </c>
      <c r="F22" s="196">
        <v>3.5</v>
      </c>
      <c r="G22" s="196">
        <v>1.34</v>
      </c>
      <c r="H22" s="196">
        <v>1.62</v>
      </c>
      <c r="I22" s="196">
        <v>0.28000000000000003</v>
      </c>
      <c r="J22" s="196">
        <v>0.33</v>
      </c>
      <c r="O22" s="198"/>
    </row>
    <row r="23" spans="1:15" x14ac:dyDescent="0.3">
      <c r="A23" s="193" t="s">
        <v>309</v>
      </c>
      <c r="B23" s="194">
        <v>43336</v>
      </c>
      <c r="C23" s="195">
        <v>5.95</v>
      </c>
      <c r="D23" s="195">
        <v>7.16</v>
      </c>
      <c r="E23" s="195">
        <v>2.97</v>
      </c>
      <c r="F23" s="195">
        <v>3.58</v>
      </c>
      <c r="G23" s="195">
        <v>1.37</v>
      </c>
      <c r="H23" s="195">
        <v>1.66</v>
      </c>
      <c r="I23" s="195">
        <v>0.34</v>
      </c>
      <c r="J23" s="195">
        <v>0.28000000000000003</v>
      </c>
      <c r="O23" s="197"/>
    </row>
    <row r="24" spans="1:15" x14ac:dyDescent="0.3">
      <c r="A24" s="193" t="s">
        <v>310</v>
      </c>
      <c r="B24" s="194">
        <v>43349</v>
      </c>
      <c r="C24" s="196">
        <v>4.63</v>
      </c>
      <c r="D24" s="196">
        <v>5.57</v>
      </c>
      <c r="E24" s="196">
        <v>2.31</v>
      </c>
      <c r="F24" s="196">
        <v>2.79</v>
      </c>
      <c r="G24" s="196">
        <v>1.07</v>
      </c>
      <c r="H24" s="196">
        <v>1.29</v>
      </c>
      <c r="I24" s="196">
        <v>0.22</v>
      </c>
      <c r="J24" s="196">
        <v>0.26</v>
      </c>
      <c r="O24" s="198"/>
    </row>
    <row r="25" spans="1:15" x14ac:dyDescent="0.3">
      <c r="A25" s="193" t="s">
        <v>311</v>
      </c>
      <c r="B25" s="194">
        <v>43336</v>
      </c>
      <c r="C25" s="195">
        <v>5.59</v>
      </c>
      <c r="D25" s="195">
        <v>6.73</v>
      </c>
      <c r="E25" s="195">
        <v>2.79</v>
      </c>
      <c r="F25" s="195">
        <v>3.36</v>
      </c>
      <c r="G25" s="195">
        <v>1.29</v>
      </c>
      <c r="H25" s="195">
        <v>1.55</v>
      </c>
      <c r="I25" s="195">
        <v>0.3</v>
      </c>
      <c r="J25" s="195">
        <v>0.36</v>
      </c>
    </row>
    <row r="26" spans="1:15" x14ac:dyDescent="0.3">
      <c r="A26" s="193" t="s">
        <v>312</v>
      </c>
      <c r="B26" s="194">
        <v>42989</v>
      </c>
      <c r="C26" s="196">
        <v>5.45</v>
      </c>
      <c r="D26" s="196">
        <v>6.6</v>
      </c>
      <c r="E26" s="196">
        <v>2.72</v>
      </c>
      <c r="F26" s="196">
        <v>3.3</v>
      </c>
      <c r="G26" s="196">
        <v>1.26</v>
      </c>
      <c r="H26" s="196">
        <v>1.53</v>
      </c>
      <c r="I26" s="196">
        <v>0.31</v>
      </c>
      <c r="J26" s="196">
        <v>0.38</v>
      </c>
    </row>
    <row r="27" spans="1:15" x14ac:dyDescent="0.3">
      <c r="A27" s="193" t="s">
        <v>313</v>
      </c>
      <c r="B27" s="194">
        <v>43643</v>
      </c>
      <c r="C27" s="195">
        <v>6.28</v>
      </c>
      <c r="D27" s="195">
        <v>7.56</v>
      </c>
      <c r="E27" s="195">
        <v>3.14</v>
      </c>
      <c r="F27" s="195">
        <v>3.78</v>
      </c>
      <c r="G27" s="195">
        <v>1.45</v>
      </c>
      <c r="H27" s="195">
        <v>1.75</v>
      </c>
      <c r="I27" s="195">
        <v>0.3</v>
      </c>
      <c r="J27" s="195">
        <v>0.36</v>
      </c>
    </row>
    <row r="28" spans="1:15" x14ac:dyDescent="0.3">
      <c r="A28" s="193" t="s">
        <v>314</v>
      </c>
      <c r="B28" s="194">
        <v>43690</v>
      </c>
      <c r="C28" s="196">
        <v>6.61</v>
      </c>
      <c r="D28" s="196">
        <v>7.96</v>
      </c>
      <c r="E28" s="196">
        <v>3.3</v>
      </c>
      <c r="F28" s="196">
        <v>3.98</v>
      </c>
      <c r="G28" s="196">
        <v>1.53</v>
      </c>
      <c r="H28" s="196">
        <v>1.84</v>
      </c>
      <c r="I28" s="196">
        <v>0.32</v>
      </c>
      <c r="J28" s="196">
        <v>0.39</v>
      </c>
    </row>
    <row r="29" spans="1:15" x14ac:dyDescent="0.3">
      <c r="A29" s="193" t="s">
        <v>315</v>
      </c>
      <c r="B29" s="194">
        <v>43761</v>
      </c>
      <c r="C29" s="195">
        <v>4.92</v>
      </c>
      <c r="D29" s="195">
        <v>5.93</v>
      </c>
      <c r="E29" s="195">
        <v>2.46</v>
      </c>
      <c r="F29" s="195">
        <v>2.96</v>
      </c>
      <c r="G29" s="195">
        <v>1.1399999999999999</v>
      </c>
      <c r="H29" s="195">
        <v>1.37</v>
      </c>
      <c r="I29" s="195">
        <v>0.23</v>
      </c>
      <c r="J29" s="195">
        <v>0.28000000000000003</v>
      </c>
    </row>
    <row r="30" spans="1:15" x14ac:dyDescent="0.3">
      <c r="A30" s="193" t="s">
        <v>316</v>
      </c>
      <c r="B30" s="194">
        <v>43761</v>
      </c>
      <c r="C30" s="196">
        <v>5.98</v>
      </c>
      <c r="D30" s="196">
        <v>7.2</v>
      </c>
      <c r="E30" s="196">
        <v>2.99</v>
      </c>
      <c r="F30" s="196">
        <v>3.6</v>
      </c>
      <c r="G30" s="196">
        <v>1.38</v>
      </c>
      <c r="H30" s="196">
        <v>1.67</v>
      </c>
      <c r="I30" s="196">
        <v>0.36</v>
      </c>
      <c r="J30" s="196">
        <v>0.43</v>
      </c>
    </row>
    <row r="31" spans="1:15" x14ac:dyDescent="0.3">
      <c r="A31" s="193" t="s">
        <v>317</v>
      </c>
      <c r="B31" s="194">
        <v>43761</v>
      </c>
      <c r="C31" s="195">
        <v>5.75</v>
      </c>
      <c r="D31" s="195">
        <v>6.92</v>
      </c>
      <c r="E31" s="195">
        <v>2.88</v>
      </c>
      <c r="F31" s="195">
        <v>3.46</v>
      </c>
      <c r="G31" s="195">
        <v>1.33</v>
      </c>
      <c r="H31" s="195">
        <v>1.6</v>
      </c>
      <c r="I31" s="195">
        <v>0.43</v>
      </c>
      <c r="J31" s="195">
        <v>0.52</v>
      </c>
    </row>
    <row r="32" spans="1:15" x14ac:dyDescent="0.3">
      <c r="A32" s="275" t="s">
        <v>318</v>
      </c>
      <c r="B32" s="275"/>
      <c r="C32" s="201">
        <f t="shared" ref="C32:J32" si="0">AVERAGE(C5:C31)</f>
        <v>5.3929629629629625</v>
      </c>
      <c r="D32" s="201">
        <f t="shared" si="0"/>
        <v>6.4940740740740734</v>
      </c>
      <c r="E32" s="201">
        <f t="shared" si="0"/>
        <v>2.7537037037037031</v>
      </c>
      <c r="F32" s="201">
        <f t="shared" si="0"/>
        <v>3.3174074074074067</v>
      </c>
      <c r="G32" s="201">
        <f t="shared" si="0"/>
        <v>1.3207407407407408</v>
      </c>
      <c r="H32" s="201">
        <f t="shared" si="0"/>
        <v>1.5918518518518523</v>
      </c>
      <c r="I32" s="201">
        <f t="shared" si="0"/>
        <v>0.36814814814814817</v>
      </c>
      <c r="J32" s="201">
        <f t="shared" si="0"/>
        <v>0.43777777777777771</v>
      </c>
    </row>
    <row r="33" spans="1:10" ht="16.5" customHeight="1" x14ac:dyDescent="0.3">
      <c r="A33" s="276" t="s">
        <v>319</v>
      </c>
      <c r="B33" s="276"/>
      <c r="C33" s="201">
        <f t="shared" ref="C33:J33" si="1">SMALL(C5:C31,27)</f>
        <v>6.61</v>
      </c>
      <c r="D33" s="201">
        <f t="shared" si="1"/>
        <v>7.96</v>
      </c>
      <c r="E33" s="201">
        <f t="shared" si="1"/>
        <v>3.73</v>
      </c>
      <c r="F33" s="201">
        <f t="shared" si="1"/>
        <v>4.4800000000000004</v>
      </c>
      <c r="G33" s="201">
        <f t="shared" si="1"/>
        <v>2.4900000000000002</v>
      </c>
      <c r="H33" s="201">
        <f t="shared" si="1"/>
        <v>2.99</v>
      </c>
      <c r="I33" s="201">
        <f t="shared" si="1"/>
        <v>1.66</v>
      </c>
      <c r="J33" s="201">
        <f t="shared" si="1"/>
        <v>1.99</v>
      </c>
    </row>
    <row r="34" spans="1:10" ht="16.5" customHeight="1" x14ac:dyDescent="0.3">
      <c r="A34" s="276" t="s">
        <v>320</v>
      </c>
      <c r="B34" s="276"/>
      <c r="C34" s="201">
        <f t="shared" ref="C34:J34" si="2">LARGE(C6:C32,27)</f>
        <v>3.87</v>
      </c>
      <c r="D34" s="201">
        <f t="shared" si="2"/>
        <v>4.66</v>
      </c>
      <c r="E34" s="201">
        <f t="shared" si="2"/>
        <v>2.31</v>
      </c>
      <c r="F34" s="201">
        <f t="shared" si="2"/>
        <v>2.79</v>
      </c>
      <c r="G34" s="201">
        <f t="shared" si="2"/>
        <v>1.07</v>
      </c>
      <c r="H34" s="201">
        <f t="shared" si="2"/>
        <v>1.29</v>
      </c>
      <c r="I34" s="201">
        <f t="shared" si="2"/>
        <v>0.22</v>
      </c>
      <c r="J34" s="201">
        <f t="shared" si="2"/>
        <v>0.26</v>
      </c>
    </row>
  </sheetData>
  <sheetProtection sheet="1" objects="1" scenarios="1"/>
  <mergeCells count="9">
    <mergeCell ref="I2:J2"/>
    <mergeCell ref="A32:B32"/>
    <mergeCell ref="A33:B33"/>
    <mergeCell ref="A34:B34"/>
    <mergeCell ref="A2:A4"/>
    <mergeCell ref="B2:B4"/>
    <mergeCell ref="C2:D2"/>
    <mergeCell ref="E2:F2"/>
    <mergeCell ref="G2:H2"/>
  </mergeCells>
  <printOptions horizontalCentered="1" verticalCentered="1"/>
  <pageMargins left="0.15763888888888899" right="0.15763888888888899" top="0.17013888888888901" bottom="0.1701388888888890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240</vt:i4>
      </vt:variant>
    </vt:vector>
  </HeadingPairs>
  <TitlesOfParts>
    <vt:vector size="251" baseType="lpstr">
      <vt:lpstr>INSERÇÃO-DE-DADOS</vt:lpstr>
      <vt:lpstr>DADOS-ESTATISTICOS</vt:lpstr>
      <vt:lpstr>ENCARGOS-SOCIAIS-E-TRABALHISTAS</vt:lpstr>
      <vt:lpstr>ENCARREGADOS</vt:lpstr>
      <vt:lpstr>SERVENTES</vt:lpstr>
      <vt:lpstr>SERVENTES-AREA-HOSP</vt:lpstr>
      <vt:lpstr>CUSTOS POR M²</vt:lpstr>
      <vt:lpstr>QUADRO-RESUMO</vt:lpstr>
      <vt:lpstr>LIMITES-SEGES-PORT-7-2015</vt:lpstr>
      <vt:lpstr>LIMITES-SEGES-PORT-213-2017</vt:lpstr>
      <vt:lpstr>QTDE-ESTIMADA-SERVENTES</vt:lpstr>
      <vt:lpstr>ACORDO_COLETIVO</vt:lpstr>
      <vt:lpstr>ADIC_INSALUB_ENC</vt:lpstr>
      <vt:lpstr>ADIC_INSALUB_SERV</vt:lpstr>
      <vt:lpstr>ADIC_INSALUB_SERV_HOSP</vt:lpstr>
      <vt:lpstr>ENCARREGADOS!AL_1_A_SAL_BASE_ENC</vt:lpstr>
      <vt:lpstr>SERVENTES!AL_1_A_SAL_BASE_SERV</vt:lpstr>
      <vt:lpstr>'SERVENTES-AREA-HOSP'!AL_1_A_SAL_BASE_SERV_HOSP</vt:lpstr>
      <vt:lpstr>ENCARREGADOS!AL_1_C_OUTROS_REM_1_ENC</vt:lpstr>
      <vt:lpstr>AL_1_C_OUTROS_REM_1_SERV</vt:lpstr>
      <vt:lpstr>AL_1_D_OUTROS_REM_2_ENC</vt:lpstr>
      <vt:lpstr>AL_1_D_OUTROS_REM_2_SERV</vt:lpstr>
      <vt:lpstr>SERVENTES!AL_1_E_OUTROS_REM_3_ENC</vt:lpstr>
      <vt:lpstr>AL_1_E_OUTROS_REM_3_SERV</vt:lpstr>
      <vt:lpstr>SERVENTES!AL_2_1_A_DEC_TERC_ENC</vt:lpstr>
      <vt:lpstr>ENCARREGADOS!AL_2_1_A_DEC_TERC_SERV</vt:lpstr>
      <vt:lpstr>ENCARREGADOS!AL_2_1_B_ADIC_FERIAS_ENC</vt:lpstr>
      <vt:lpstr>SERVENTES!AL_2_1_B_ADIC_FERIAS_SERV</vt:lpstr>
      <vt:lpstr>ENCARREGADOS!AL_2_2_FGTS_ENC</vt:lpstr>
      <vt:lpstr>SERVENTES!AL_2_2_FGTS_SERV</vt:lpstr>
      <vt:lpstr>'SERVENTES-AREA-HOSP'!AL_2_2_FGTS_SERV_HOSP</vt:lpstr>
      <vt:lpstr>ENCARREGADOS!AL_2_3_A_TRANSP_ENC</vt:lpstr>
      <vt:lpstr>SERVENTES!AL_2_3_A_TRANSP_SERV</vt:lpstr>
      <vt:lpstr>ENCARREGADOS!AL_2_3_B_AUX_ALIMENT_ENC</vt:lpstr>
      <vt:lpstr>SERVENTES!AL_2_3_B_AUX_ALIMENT_SERV</vt:lpstr>
      <vt:lpstr>ENCARREGADOS!AL_2_3_C_OUTROS_BENEF_1_ENC</vt:lpstr>
      <vt:lpstr>SERVENTES!AL_2_3_C_OUTROS_BENEF_1_SERV</vt:lpstr>
      <vt:lpstr>ENCARREGADOS!AL_2_A_ATE_2_G_GPS_ENC</vt:lpstr>
      <vt:lpstr>SERVENTES!AL_2_A_ATE_2_G_GPS_SERV</vt:lpstr>
      <vt:lpstr>ENCARREGADOS!AL_6_A_CUSTOS_INDIRETOS_ENC</vt:lpstr>
      <vt:lpstr>SERVENTES!AL_6_A_CUSTOS_INDIRETOS_SERV</vt:lpstr>
      <vt:lpstr>'SERVENTES-AREA-HOSP'!AL_6_A_CUSTOS_INDIRETOS_SERV_HOSP</vt:lpstr>
      <vt:lpstr>ENCARREGADOS!AL_6_B_LUCRO_ENC</vt:lpstr>
      <vt:lpstr>SERVENTES!AL_6_B_LUCRO_SERV</vt:lpstr>
      <vt:lpstr>'SERVENTES-AREA-HOSP'!AL_6_B_LUCRO_SERV_HOSP</vt:lpstr>
      <vt:lpstr>ENCARREGADOS!AL_6_C_1_PIS_ENC</vt:lpstr>
      <vt:lpstr>SERVENTES!AL_6_C_1_PIS_SERV</vt:lpstr>
      <vt:lpstr>ENCARREGADOS!AL_6_C_2_COFINS_ENC</vt:lpstr>
      <vt:lpstr>SERVENTES!AL_6_C_2_COFINS_SERV</vt:lpstr>
      <vt:lpstr>ENCARREGADOS!AL_6_C_3_ISS_ENC</vt:lpstr>
      <vt:lpstr>SERVENTES!AL_6_C_3_ISS_SERV</vt:lpstr>
      <vt:lpstr>ENCARREGADOS!AL_6_C_TRIBUTOS_ENC</vt:lpstr>
      <vt:lpstr>SERVENTES!AL_6_C_TRIBUTOS_SERV</vt:lpstr>
      <vt:lpstr>'SERVENTES-AREA-HOSP'!AL_6_C_TRIBUTOS_SERV_HOSP</vt:lpstr>
      <vt:lpstr>ALIMENTACAO_POR_DIA</vt:lpstr>
      <vt:lpstr>AREA_ESQ_EXTERNA_ANEXOS</vt:lpstr>
      <vt:lpstr>AREA_ESQ_EXTERNA_PTMS_PRMS</vt:lpstr>
      <vt:lpstr>AREA_ESQ_EXTERNA_SEDE</vt:lpstr>
      <vt:lpstr>AREA_ESQ_EXTERNA_TOTAL</vt:lpstr>
      <vt:lpstr>AREA_EXTERNA_ANEXOS</vt:lpstr>
      <vt:lpstr>AREA_EXTERNA_PTMS_PRMS</vt:lpstr>
      <vt:lpstr>AREA_EXTERNA_SEDE</vt:lpstr>
      <vt:lpstr>AREA_EXTERNA_TOTAL</vt:lpstr>
      <vt:lpstr>AREA_FACHADA_ENVID_ANEXOS</vt:lpstr>
      <vt:lpstr>AREA_FACHADA_ENVID_PTMS_PRMS</vt:lpstr>
      <vt:lpstr>AREA_FACHADA_ENVID_SEDE</vt:lpstr>
      <vt:lpstr>AREA_FACHADA_ENVID_TOTAL</vt:lpstr>
      <vt:lpstr>AREA_INTERNA_ANEXOS</vt:lpstr>
      <vt:lpstr>AREA_INTERNA_PTMS_PRMS</vt:lpstr>
      <vt:lpstr>AREA_INTERNA_SEDE</vt:lpstr>
      <vt:lpstr>AREA_INTERNA_TOTAL</vt:lpstr>
      <vt:lpstr>AREA_MED_HOSP_ANEXOS</vt:lpstr>
      <vt:lpstr>AREA_MED_HOSP_PTMS_PRMS</vt:lpstr>
      <vt:lpstr>AREA_MED_HOSP_SEDE</vt:lpstr>
      <vt:lpstr>AREA_MED_HOSP_TOTAL</vt:lpstr>
      <vt:lpstr>CARGA_HORARIA_SEMANAL</vt:lpstr>
      <vt:lpstr>CATEGORIA_PROFISSIONAL_ENC</vt:lpstr>
      <vt:lpstr>CATEGORIA_PROFISSIONAL_SERV</vt:lpstr>
      <vt:lpstr>CATEGORIA_PROFISSIONAL_SERV_HOSP</vt:lpstr>
      <vt:lpstr>CBO</vt:lpstr>
      <vt:lpstr>COEF_KI_ESQ_EXTERNA_ENC</vt:lpstr>
      <vt:lpstr>COEF_KI_ESQ_EXTERNA_SERV</vt:lpstr>
      <vt:lpstr>COEF_KI_FACHADA_ENVID_ENC</vt:lpstr>
      <vt:lpstr>COEF_KI_FACHADA_ENVID_SERV</vt:lpstr>
      <vt:lpstr>CUSTO_M2_AREA_EXTERNA</vt:lpstr>
      <vt:lpstr>CUSTO_M2_AREA_EXTERNA_ENC</vt:lpstr>
      <vt:lpstr>CUSTO_M2_AREA_EXTERNA_SERV</vt:lpstr>
      <vt:lpstr>CUSTO_M2_AREA_HOSPITALAR_ENC</vt:lpstr>
      <vt:lpstr>CUSTO_M2_AREA_HOSPITALAR_SERV</vt:lpstr>
      <vt:lpstr>CUSTO_M2_AREA_INTERNA</vt:lpstr>
      <vt:lpstr>CUSTO_M2_AREA_INTERNA_ENC</vt:lpstr>
      <vt:lpstr>CUSTO_M2_AREA_INTERNA_SERV</vt:lpstr>
      <vt:lpstr>CUSTO_M2_AREA_MED_HOSP</vt:lpstr>
      <vt:lpstr>CUSTO_M2_ESQ_EXTERNA</vt:lpstr>
      <vt:lpstr>CUSTO_M2_ESQ_EXTERNA_ENC</vt:lpstr>
      <vt:lpstr>CUSTO_M2_ESQ_EXTERNA_SERV</vt:lpstr>
      <vt:lpstr>CUSTO_M2_FACHADA_ENVID</vt:lpstr>
      <vt:lpstr>CUSTO_M2_FACHADA_ENVID_ENC</vt:lpstr>
      <vt:lpstr>CUSTO_M2_FACHADA_ENVID_SERV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ENCARREGADO_DE_LIMPEZA</vt:lpstr>
      <vt:lpstr>EQUIPAMENTOS</vt:lpstr>
      <vt:lpstr>FREQ_ESQ_EXTERNA</vt:lpstr>
      <vt:lpstr>FREQ_FACHADA_ENVID</vt:lpstr>
      <vt:lpstr>HORA_NORMAL</vt:lpstr>
      <vt:lpstr>HORARIO_LICITACAO</vt:lpstr>
      <vt:lpstr>JORNADA_MES_ESQ_EXTERNA_ENC</vt:lpstr>
      <vt:lpstr>JORNADA_MES_ESQ_EXTERNA_SERV</vt:lpstr>
      <vt:lpstr>JORNADA_MES_FACHADA_ENVID_ENC</vt:lpstr>
      <vt:lpstr>JORNADA_MES_FACHADA_ENVID_SERV</vt:lpstr>
      <vt:lpstr>LOCAL_DE_EXECUCAO</vt:lpstr>
      <vt:lpstr>MATERIAIS</vt:lpstr>
      <vt:lpstr>MEDIA_ANUAL_DIAS_TRABALHO_MES</vt:lpstr>
      <vt:lpstr>MESES_NO_ANO</vt:lpstr>
      <vt:lpstr>MESES_NO_SEMESTRE</vt:lpstr>
      <vt:lpstr>ENCARREGADOS!MOD_1_REMUNERACAO_ENC</vt:lpstr>
      <vt:lpstr>SERVENTES!MOD_1_REMUNERACAO_SERV</vt:lpstr>
      <vt:lpstr>'SERVENTES-AREA-HOSP'!MOD_1_REMUNERACAO_SERV_HOSP</vt:lpstr>
      <vt:lpstr>ENCARREGADOS!MOD_3_PROVISAO_RESCISAO_ENC</vt:lpstr>
      <vt:lpstr>SERVENTES!MOD_3_PROVISAO_RESCISAO_SERV</vt:lpstr>
      <vt:lpstr>'SERVENTES-AREA-HOSP'!MOD_3_PROVISAO_RESCISAO_SERV_HOSP</vt:lpstr>
      <vt:lpstr>ENCARREGADOS!MOD_5_INSUMOS_ENC</vt:lpstr>
      <vt:lpstr>SERVENTES!MOD_5_INSUMOS_SERV</vt:lpstr>
      <vt:lpstr>'SERVENTES-AREA-HOSP'!MOD_5_INSUMOS_SERV_HOSP</vt:lpstr>
      <vt:lpstr>ENCARREGADOS!MOD_6_CUSTOS_IND_LUCRO_TRIB_ENC</vt:lpstr>
      <vt:lpstr>SERVENTES!MOD_6_CUSTOS_IND_LUCRO_TRIB_SERV</vt:lpstr>
      <vt:lpstr>'SERVENTES-AREA-HOSP'!MOD_6_CUSTOS_IND_LUCRO_TRIB_SERV_HOSP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PERC_ADIC_INSALUB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ENCARREGADOS!PERC_MOD_3_PROVISAO_RESCISAO</vt:lpstr>
      <vt:lpstr>SERVENTES!PERC_MOD_3_PROVISAO_RESCISAO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ENCARREGADOS!PERC_TRIBUTOS</vt:lpstr>
      <vt:lpstr>SERVENTES!PERC_TRIBUTOS</vt:lpstr>
      <vt:lpstr>'SERVENTES-AREA-HOSP'!PERC_TRIBUTOS</vt:lpstr>
      <vt:lpstr>PORTARIA_LIMITES</vt:lpstr>
      <vt:lpstr>PRODUT_AREA_ESQ_EXTERNA</vt:lpstr>
      <vt:lpstr>PRODUT_AREA_EXTERNA</vt:lpstr>
      <vt:lpstr>PRODUT_AREA_FACHADA_ENVID</vt:lpstr>
      <vt:lpstr>PRODUT_AREA_HOSPITALAR</vt:lpstr>
      <vt:lpstr>PRODUT_AREA_INTERNA</vt:lpstr>
      <vt:lpstr>QTDE_DE_ENC</vt:lpstr>
      <vt:lpstr>QTDE_DE_SERV</vt:lpstr>
      <vt:lpstr>QTDE_DE_SERV_HOSP</vt:lpstr>
      <vt:lpstr>QTDE_ESTIMADA_SERVENTES</vt:lpstr>
      <vt:lpstr>RAMO</vt:lpstr>
      <vt:lpstr>RELACAO_SERVENTES_ENCARREGADOS</vt:lpstr>
      <vt:lpstr>SAL_MINIMO</vt:lpstr>
      <vt:lpstr>SALARIO_NORMATIVO_ENC</vt:lpstr>
      <vt:lpstr>SALARIO_NORMATIVO_SERV</vt:lpstr>
      <vt:lpstr>SALARIO_NORMATIVO_SERV_HOSP</vt:lpstr>
      <vt:lpstr>SERVENTE</vt:lpstr>
      <vt:lpstr>SERVENTE_AREA_HOSPITALAR</vt:lpstr>
      <vt:lpstr>ENCARREGADOS!SUBMOD_2_1_DEC_TERC_ADIC_FERIAS_ENC</vt:lpstr>
      <vt:lpstr>SERVENTES!SUBMOD_2_1_DEC_TERC_ADIC_FERIAS_SERV</vt:lpstr>
      <vt:lpstr>'SERVENTES-AREA-HOSP'!SUBMOD_2_1_DEC_TERC_ADIC_FERIAS_SERV_HOSP</vt:lpstr>
      <vt:lpstr>ENCARREGADOS!SUBMOD_2_2_GPS_FGTS_ENC</vt:lpstr>
      <vt:lpstr>SERVENTES!SUBMOD_2_2_GPS_FGTS_SERV</vt:lpstr>
      <vt:lpstr>'SERVENTES-AREA-HOSP'!SUBMOD_2_2_GPS_FGTS_SERV_HOSP</vt:lpstr>
      <vt:lpstr>ENCARREGADOS!SUBMOD_2_3_BENEFICIOS_ENC</vt:lpstr>
      <vt:lpstr>SERVENTES!SUBMOD_2_3_BENEFICIOS_SERV</vt:lpstr>
      <vt:lpstr>'SERVENTES-AREA-HOSP'!SUBMOD_2_3_BENEFICIOS_SERV_HOSP</vt:lpstr>
      <vt:lpstr>ENCARREGADOS!SUBMOD_4_1_SUBSTITUTO_ENC</vt:lpstr>
      <vt:lpstr>SERVENTES!SUBMOD_4_1_SUBSTITUTO_SERV</vt:lpstr>
      <vt:lpstr>ENCARREGADOS!SUBMOD_4_2_INTRAJORNADA_ENC</vt:lpstr>
      <vt:lpstr>SERVENTES!SUBMOD_4_2_INTRAJORNADA_SERV</vt:lpstr>
      <vt:lpstr>TEMPO_INTERVALO_REFEICAO</vt:lpstr>
      <vt:lpstr>TIPO_DE_SERVICO</vt:lpstr>
      <vt:lpstr>TRANSPORTE_POR_DIA</vt:lpstr>
      <vt:lpstr>UF</vt:lpstr>
      <vt:lpstr>UG</vt:lpstr>
      <vt:lpstr>UNIFORMES</vt:lpstr>
      <vt:lpstr>VALOR_LIMITE_CONTRATACAO_POR_AREA</vt:lpstr>
      <vt:lpstr>VALOR_LIMITES_AREA_EXTERNA</vt:lpstr>
      <vt:lpstr>VALOR_LIMITES_AREA_INTERNA</vt:lpstr>
      <vt:lpstr>VALOR_LIMITES_ESQ_EXTERNA</vt:lpstr>
      <vt:lpstr>VALOR_LIMITES_FACHADA_ENVID</vt:lpstr>
      <vt:lpstr>ENCARREGADOS!VALOR_TOTAL_ENC</vt:lpstr>
      <vt:lpstr>ENCARREGADOS!VALOR_TOTAL_SERV</vt:lpstr>
      <vt:lpstr>VALOR_TOTAL_SERV</vt:lpstr>
      <vt:lpstr>SERVENTES!VALOR_TOTAL_SERV_HOSP</vt:lpstr>
      <vt:lpstr>VALOR_TOTAL_SERV_HOSP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Iacy</cp:lastModifiedBy>
  <cp:revision>18</cp:revision>
  <cp:lastPrinted>2019-08-28T14:08:05Z</cp:lastPrinted>
  <dcterms:created xsi:type="dcterms:W3CDTF">2014-02-07T18:14:59Z</dcterms:created>
  <dcterms:modified xsi:type="dcterms:W3CDTF">2020-07-02T13:13:09Z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